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reaee2/Library/CloudStorage/Box-Box/Troilite Paper Main Files/"/>
    </mc:Choice>
  </mc:AlternateContent>
  <xr:revisionPtr revIDLastSave="0" documentId="13_ncr:1_{4D85E2DA-B490-3D4F-9998-1EE79EE23B56}" xr6:coauthVersionLast="47" xr6:coauthVersionMax="47" xr10:uidLastSave="{00000000-0000-0000-0000-000000000000}"/>
  <bookViews>
    <workbookView xWindow="-400" yWindow="-18220" windowWidth="29880" windowHeight="16260" activeTab="8" xr2:uid="{00000000-000D-0000-FFFF-FFFF00000000}"/>
  </bookViews>
  <sheets>
    <sheet name="CH2-2" sheetId="7" r:id="rId1"/>
    <sheet name="CH3-2" sheetId="8" r:id="rId2"/>
    <sheet name="S36-2" sheetId="9" r:id="rId3"/>
    <sheet name="S32-2" sheetId="11" r:id="rId4"/>
    <sheet name="S32-4" sheetId="12" r:id="rId5"/>
    <sheet name="S32-5" sheetId="13" r:id="rId6"/>
    <sheet name="N8-4" sheetId="1" r:id="rId7"/>
    <sheet name="N8-3" sheetId="5" r:id="rId8"/>
    <sheet name="N12-1" sheetId="17" r:id="rId9"/>
    <sheet name="S32-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5" l="1"/>
  <c r="F26" i="17"/>
  <c r="F34" i="5"/>
  <c r="F25" i="8"/>
  <c r="F29" i="1"/>
  <c r="I30" i="11"/>
  <c r="W34" i="5" l="1"/>
  <c r="C34" i="13" l="1"/>
  <c r="R3" i="5" l="1"/>
  <c r="O42" i="5"/>
  <c r="N42" i="5"/>
  <c r="M43" i="11"/>
  <c r="Z4" i="17"/>
  <c r="Z4" i="5"/>
  <c r="Z4" i="1"/>
  <c r="Z4" i="13"/>
  <c r="Z4" i="12"/>
  <c r="Z4" i="9"/>
  <c r="Z4" i="8"/>
  <c r="Z4" i="7"/>
  <c r="Z4" i="11"/>
  <c r="C4" i="8"/>
  <c r="M3" i="17" a="1"/>
  <c r="M3" i="17" s="1"/>
  <c r="W27" i="7" l="1"/>
  <c r="F26" i="7"/>
  <c r="AE17" i="1" l="1"/>
  <c r="AD28" i="7"/>
  <c r="AD26" i="7"/>
  <c r="AD25" i="7"/>
  <c r="AD23" i="7"/>
  <c r="AD16" i="7"/>
  <c r="AD13" i="7"/>
  <c r="AD13" i="8"/>
  <c r="AD16" i="8"/>
  <c r="AD28" i="8"/>
  <c r="AD25" i="8"/>
  <c r="AD16" i="9"/>
  <c r="AD13" i="9"/>
  <c r="AE13" i="11"/>
  <c r="AE26" i="11"/>
  <c r="AE28" i="12"/>
  <c r="AE31" i="12"/>
  <c r="AE17" i="12"/>
  <c r="AE13" i="12"/>
  <c r="AE14" i="13"/>
  <c r="AE28" i="13"/>
  <c r="AF34" i="1"/>
  <c r="AF33" i="1"/>
  <c r="AE31" i="1"/>
  <c r="AE29" i="1"/>
  <c r="AE28" i="1"/>
  <c r="AE29" i="5"/>
  <c r="AE17" i="5"/>
  <c r="AE26" i="5"/>
  <c r="AE31" i="17"/>
  <c r="AE29" i="17"/>
  <c r="AE28" i="17"/>
  <c r="AE26" i="17"/>
  <c r="AE17" i="17"/>
  <c r="AE14" i="17"/>
  <c r="F17" i="17"/>
  <c r="AA31" i="1" l="1"/>
  <c r="AA29" i="1"/>
  <c r="AA28" i="1"/>
  <c r="AA26" i="1"/>
  <c r="Z34" i="17"/>
  <c r="Z33" i="17"/>
  <c r="Z34" i="13"/>
  <c r="Z33" i="13"/>
  <c r="AA31" i="13"/>
  <c r="AA30" i="13"/>
  <c r="AA28" i="13"/>
  <c r="Z33" i="11"/>
  <c r="Z27" i="7"/>
  <c r="F30" i="17"/>
  <c r="F28" i="5"/>
  <c r="AA26" i="17"/>
  <c r="AA30" i="17"/>
  <c r="AA29" i="17"/>
  <c r="AA28" i="17"/>
  <c r="AA31" i="5"/>
  <c r="AA30" i="5"/>
  <c r="AA29" i="5"/>
  <c r="AA28" i="5"/>
  <c r="AA26" i="5"/>
  <c r="Z33" i="5"/>
  <c r="AA30" i="1"/>
  <c r="AA26" i="13"/>
  <c r="AA31" i="12"/>
  <c r="AA30" i="12"/>
  <c r="AA29" i="12"/>
  <c r="AA28" i="12"/>
  <c r="AA26" i="12"/>
  <c r="AA31" i="11"/>
  <c r="AA30" i="11"/>
  <c r="AA29" i="11"/>
  <c r="AA28" i="11"/>
  <c r="AA26" i="11"/>
  <c r="Z28" i="9"/>
  <c r="Z27" i="9"/>
  <c r="Z26" i="9"/>
  <c r="Z25" i="9"/>
  <c r="Z28" i="8"/>
  <c r="Z27" i="8"/>
  <c r="Z25" i="8"/>
  <c r="Z26" i="8"/>
  <c r="Z23" i="7"/>
  <c r="Z28" i="7"/>
  <c r="Z26" i="7"/>
  <c r="Z25" i="7"/>
  <c r="F27" i="9"/>
  <c r="G27" i="9"/>
  <c r="AD26" i="8"/>
  <c r="AD28" i="9"/>
  <c r="AD26" i="9"/>
  <c r="AD25" i="9"/>
  <c r="AE31" i="5"/>
  <c r="AE28" i="5"/>
  <c r="AE13" i="5"/>
  <c r="AE31" i="11"/>
  <c r="AE29" i="11"/>
  <c r="AE28" i="11"/>
  <c r="AE17" i="11"/>
  <c r="AE26" i="1"/>
  <c r="AE13" i="1"/>
  <c r="AE31" i="13"/>
  <c r="AE29" i="13"/>
  <c r="AE26" i="13"/>
  <c r="AE17" i="13"/>
  <c r="AE29" i="12"/>
  <c r="AE26" i="12"/>
  <c r="AG36" i="17"/>
  <c r="AG35" i="17"/>
  <c r="AG35" i="5"/>
  <c r="AG36" i="5"/>
  <c r="AG36" i="1"/>
  <c r="AG35" i="1"/>
  <c r="AE31" i="9"/>
  <c r="AE30" i="9"/>
  <c r="AG36" i="13"/>
  <c r="AG35" i="13"/>
  <c r="AG36" i="12"/>
  <c r="AG35" i="12"/>
  <c r="AG35" i="11"/>
  <c r="AG36" i="11"/>
  <c r="AE31" i="8"/>
  <c r="AE30" i="8"/>
  <c r="AE31" i="7"/>
  <c r="AE30" i="7"/>
  <c r="AB36" i="11"/>
  <c r="C33" i="1"/>
  <c r="C7" i="1"/>
  <c r="F11" i="5"/>
  <c r="F20" i="17"/>
  <c r="C20" i="17"/>
  <c r="I14" i="13"/>
  <c r="J14" i="13"/>
  <c r="F25" i="11"/>
  <c r="L36" i="12"/>
  <c r="C29" i="8" l="1"/>
  <c r="C16" i="8"/>
  <c r="D3" i="5"/>
  <c r="D4" i="5"/>
  <c r="D5" i="5"/>
  <c r="D6" i="5"/>
  <c r="D7" i="5"/>
  <c r="D8" i="5"/>
  <c r="F40" i="5" a="1"/>
  <c r="F40" i="5" s="1"/>
  <c r="I40" i="5" a="1"/>
  <c r="I40" i="5" s="1"/>
  <c r="L40" i="5" a="1"/>
  <c r="L40" i="5" s="1"/>
  <c r="F40" i="1" a="1"/>
  <c r="F40" i="1" s="1"/>
  <c r="I40" i="1" a="1"/>
  <c r="I40" i="1" s="1"/>
  <c r="L40" i="1" a="1"/>
  <c r="L40" i="1" s="1"/>
  <c r="G40" i="17" a="1"/>
  <c r="G40" i="17" s="1"/>
  <c r="J40" i="17" a="1"/>
  <c r="J40" i="17" s="1"/>
  <c r="M40" i="17" a="1"/>
  <c r="M40" i="17" s="1"/>
  <c r="D40" i="13" a="1"/>
  <c r="D40" i="13" s="1"/>
  <c r="G40" i="13" a="1"/>
  <c r="G40" i="13" s="1"/>
  <c r="J40" i="13" a="1"/>
  <c r="J40" i="13" s="1"/>
  <c r="D40" i="12" a="1"/>
  <c r="D40" i="12" s="1"/>
  <c r="G40" i="12" a="1"/>
  <c r="G40" i="12" s="1"/>
  <c r="J40" i="12" a="1"/>
  <c r="J40" i="12" s="1"/>
  <c r="D40" i="11" a="1"/>
  <c r="D40" i="11" s="1"/>
  <c r="G40" i="11" a="1"/>
  <c r="G40" i="11" s="1"/>
  <c r="J40" i="11" a="1"/>
  <c r="J40" i="11" s="1"/>
  <c r="G35" i="9" a="1"/>
  <c r="G35" i="9" s="1"/>
  <c r="J35" i="9" a="1"/>
  <c r="J35" i="9" s="1"/>
  <c r="M35" i="9" a="1"/>
  <c r="M35" i="9" s="1"/>
  <c r="M35" i="7" a="1"/>
  <c r="M35" i="7" s="1"/>
  <c r="J35" i="7" a="1"/>
  <c r="J35" i="7" s="1"/>
  <c r="G35" i="7" a="1"/>
  <c r="G35" i="7" s="1"/>
  <c r="N34" i="8" a="1"/>
  <c r="N34" i="8" s="1"/>
  <c r="K34" i="8" a="1"/>
  <c r="K34" i="8" s="1"/>
  <c r="H34" i="8" a="1"/>
  <c r="H34" i="8" s="1"/>
  <c r="C47" i="5" l="1"/>
  <c r="C46" i="5"/>
  <c r="E45" i="5" l="1"/>
  <c r="E46" i="5"/>
  <c r="E47" i="5"/>
  <c r="C46" i="1" l="1"/>
  <c r="T3" i="1" s="1"/>
  <c r="C47" i="1"/>
  <c r="C47" i="9"/>
  <c r="T13" i="9" s="1" a="1"/>
  <c r="T13" i="9" s="1"/>
  <c r="C46" i="7"/>
  <c r="T3" i="7" s="1"/>
  <c r="C47" i="7"/>
  <c r="S21" i="7" s="1"/>
  <c r="C46" i="8"/>
  <c r="T21" i="8" s="1"/>
  <c r="C47" i="8"/>
  <c r="T13" i="8" s="1" a="1"/>
  <c r="T13" i="8" s="1"/>
  <c r="C46" i="9"/>
  <c r="S22" i="9" s="1" a="1"/>
  <c r="S22" i="9" s="1"/>
  <c r="C46" i="11"/>
  <c r="S8" i="11" s="1"/>
  <c r="C47" i="11"/>
  <c r="C47" i="12"/>
  <c r="C46" i="12"/>
  <c r="T34" i="12" s="1"/>
  <c r="C47" i="13"/>
  <c r="C46" i="13"/>
  <c r="T12" i="13" s="1"/>
  <c r="T34" i="5"/>
  <c r="S24" i="1" a="1"/>
  <c r="S24" i="1" s="1"/>
  <c r="T4" i="5"/>
  <c r="T13" i="5" a="1"/>
  <c r="T13" i="5" s="1"/>
  <c r="C46" i="17"/>
  <c r="T12" i="17" s="1"/>
  <c r="C47" i="17"/>
  <c r="C13" i="17"/>
  <c r="R27" i="17"/>
  <c r="R3" i="17"/>
  <c r="C45" i="17"/>
  <c r="C45" i="8"/>
  <c r="C45" i="7"/>
  <c r="S7" i="1" l="1"/>
  <c r="T33" i="1"/>
  <c r="T10" i="9" a="1"/>
  <c r="T10" i="9" s="1"/>
  <c r="S7" i="8" a="1"/>
  <c r="S7" i="8" s="1"/>
  <c r="S4" i="7"/>
  <c r="E45" i="17"/>
  <c r="E46" i="17"/>
  <c r="S34" i="17"/>
  <c r="E47" i="17"/>
  <c r="S23" i="13"/>
  <c r="S12" i="12"/>
  <c r="S33" i="11"/>
  <c r="T22" i="9" a="1"/>
  <c r="T22" i="9" s="1"/>
  <c r="T22" i="7" a="1"/>
  <c r="T22" i="7" s="1"/>
  <c r="E47" i="7"/>
  <c r="E45" i="7"/>
  <c r="E46" i="7"/>
  <c r="S3" i="7"/>
  <c r="T10" i="8" a="1"/>
  <c r="T10" i="8" s="1"/>
  <c r="S22" i="8" a="1"/>
  <c r="S22" i="8" s="1"/>
  <c r="T22" i="8" a="1"/>
  <c r="T22" i="8" s="1"/>
  <c r="T7" i="8" a="1"/>
  <c r="T7" i="8" s="1"/>
  <c r="S10" i="8" a="1"/>
  <c r="S10" i="8" s="1"/>
  <c r="E45" i="8"/>
  <c r="E46" i="8"/>
  <c r="S3" i="8"/>
  <c r="E47" i="8"/>
  <c r="S13" i="8" a="1"/>
  <c r="S13" i="8" s="1"/>
  <c r="T7" i="5"/>
  <c r="T10" i="5"/>
  <c r="S10" i="5"/>
  <c r="S11" i="5"/>
  <c r="S24" i="5" a="1"/>
  <c r="S24" i="5" s="1"/>
  <c r="T34" i="1"/>
  <c r="S3" i="12"/>
  <c r="T4" i="12"/>
  <c r="S7" i="12"/>
  <c r="S8" i="12"/>
  <c r="T9" i="12"/>
  <c r="T10" i="12"/>
  <c r="T23" i="12"/>
  <c r="S4" i="12"/>
  <c r="S24" i="12" a="1"/>
  <c r="S24" i="12" s="1"/>
  <c r="S33" i="12"/>
  <c r="T8" i="12"/>
  <c r="S34" i="11"/>
  <c r="T8" i="11"/>
  <c r="T7" i="11"/>
  <c r="T9" i="11"/>
  <c r="S10" i="11"/>
  <c r="S23" i="11"/>
  <c r="S3" i="11"/>
  <c r="S4" i="11"/>
  <c r="T24" i="11" a="1"/>
  <c r="T24" i="11" s="1"/>
  <c r="S21" i="9"/>
  <c r="T4" i="9"/>
  <c r="T21" i="9"/>
  <c r="S13" i="9" a="1"/>
  <c r="S13" i="9" s="1"/>
  <c r="T3" i="9"/>
  <c r="S4" i="9"/>
  <c r="S7" i="9" a="1"/>
  <c r="S7" i="9" s="1"/>
  <c r="S10" i="9" a="1"/>
  <c r="S10" i="9" s="1"/>
  <c r="S3" i="9"/>
  <c r="T7" i="9" a="1"/>
  <c r="T7" i="9" s="1"/>
  <c r="T3" i="8"/>
  <c r="S4" i="8"/>
  <c r="S21" i="8"/>
  <c r="T4" i="8"/>
  <c r="S13" i="7" a="1"/>
  <c r="S13" i="7" s="1"/>
  <c r="T4" i="7"/>
  <c r="T21" i="7"/>
  <c r="T7" i="7" a="1"/>
  <c r="T7" i="7" s="1"/>
  <c r="S10" i="7" a="1"/>
  <c r="S10" i="7" s="1"/>
  <c r="T13" i="7" a="1"/>
  <c r="T13" i="7" s="1"/>
  <c r="S7" i="7" a="1"/>
  <c r="S7" i="7" s="1"/>
  <c r="S22" i="7" a="1"/>
  <c r="S22" i="7" s="1"/>
  <c r="T10" i="7" a="1"/>
  <c r="T10" i="7" s="1"/>
  <c r="T10" i="1"/>
  <c r="T23" i="1"/>
  <c r="T12" i="1"/>
  <c r="S11" i="11"/>
  <c r="S12" i="11"/>
  <c r="T13" i="11" a="1"/>
  <c r="T13" i="11" s="1"/>
  <c r="T12" i="11"/>
  <c r="T33" i="11"/>
  <c r="S9" i="11"/>
  <c r="S13" i="11" a="1"/>
  <c r="S13" i="11" s="1"/>
  <c r="T34" i="11"/>
  <c r="T4" i="11"/>
  <c r="T10" i="11"/>
  <c r="T23" i="11"/>
  <c r="S24" i="11" a="1"/>
  <c r="S24" i="11" s="1"/>
  <c r="T3" i="11"/>
  <c r="S7" i="11"/>
  <c r="T11" i="11"/>
  <c r="S10" i="12"/>
  <c r="S11" i="12"/>
  <c r="T11" i="12"/>
  <c r="T13" i="12" a="1"/>
  <c r="T13" i="12" s="1"/>
  <c r="S23" i="12"/>
  <c r="S13" i="13" a="1"/>
  <c r="S13" i="13" s="1"/>
  <c r="S24" i="13" a="1"/>
  <c r="S24" i="13" s="1"/>
  <c r="T23" i="13"/>
  <c r="S8" i="13"/>
  <c r="S9" i="13"/>
  <c r="T10" i="13"/>
  <c r="T3" i="13"/>
  <c r="T4" i="13"/>
  <c r="S7" i="13"/>
  <c r="T33" i="13"/>
  <c r="T34" i="13"/>
  <c r="T11" i="13"/>
  <c r="S9" i="1"/>
  <c r="S8" i="1"/>
  <c r="T11" i="1"/>
  <c r="S13" i="1" a="1"/>
  <c r="S13" i="1" s="1"/>
  <c r="T4" i="1"/>
  <c r="S23" i="5"/>
  <c r="S4" i="5"/>
  <c r="T23" i="5"/>
  <c r="S7" i="5"/>
  <c r="T24" i="5" a="1"/>
  <c r="T24" i="5" s="1"/>
  <c r="S8" i="5"/>
  <c r="S12" i="5"/>
  <c r="S33" i="5"/>
  <c r="T11" i="5"/>
  <c r="T8" i="5"/>
  <c r="T12" i="5"/>
  <c r="T33" i="5"/>
  <c r="S3" i="5"/>
  <c r="S9" i="5"/>
  <c r="S13" i="5" a="1"/>
  <c r="S13" i="5" s="1"/>
  <c r="S34" i="5"/>
  <c r="T3" i="5"/>
  <c r="T9" i="5"/>
  <c r="T24" i="12" a="1"/>
  <c r="T24" i="12" s="1"/>
  <c r="S34" i="12"/>
  <c r="T7" i="12"/>
  <c r="T12" i="12"/>
  <c r="T33" i="12"/>
  <c r="S9" i="12"/>
  <c r="S13" i="12" a="1"/>
  <c r="S13" i="12" s="1"/>
  <c r="T3" i="12"/>
  <c r="T24" i="13" a="1"/>
  <c r="T24" i="13" s="1"/>
  <c r="T8" i="13"/>
  <c r="S3" i="13"/>
  <c r="S34" i="13"/>
  <c r="S12" i="13"/>
  <c r="T9" i="13"/>
  <c r="T13" i="13" a="1"/>
  <c r="T13" i="13" s="1"/>
  <c r="S11" i="13"/>
  <c r="T7" i="13"/>
  <c r="S33" i="13"/>
  <c r="S4" i="13"/>
  <c r="S10" i="13"/>
  <c r="T7" i="1"/>
  <c r="S23" i="1"/>
  <c r="S10" i="1"/>
  <c r="S4" i="1"/>
  <c r="S11" i="1"/>
  <c r="T13" i="1" a="1"/>
  <c r="T13" i="1" s="1"/>
  <c r="T9" i="1"/>
  <c r="S3" i="1"/>
  <c r="T24" i="1" a="1"/>
  <c r="T24" i="1" s="1"/>
  <c r="S34" i="1"/>
  <c r="T8" i="1"/>
  <c r="S12" i="1"/>
  <c r="S33" i="1"/>
  <c r="T13" i="17" a="1"/>
  <c r="T13" i="17" s="1"/>
  <c r="T34" i="17"/>
  <c r="S24" i="17" a="1"/>
  <c r="S24" i="17" s="1"/>
  <c r="S13" i="17" a="1"/>
  <c r="S13" i="17" s="1"/>
  <c r="T33" i="17"/>
  <c r="T4" i="17"/>
  <c r="S7" i="17"/>
  <c r="S8" i="17"/>
  <c r="T10" i="17"/>
  <c r="T23" i="17"/>
  <c r="S9" i="17"/>
  <c r="T11" i="17"/>
  <c r="T3" i="17"/>
  <c r="T7" i="17"/>
  <c r="S4" i="17"/>
  <c r="T24" i="17" a="1"/>
  <c r="T24" i="17" s="1"/>
  <c r="S12" i="17"/>
  <c r="S11" i="17"/>
  <c r="T8" i="17"/>
  <c r="S3" i="17"/>
  <c r="T9" i="17"/>
  <c r="S33" i="17"/>
  <c r="S23" i="17"/>
  <c r="S10" i="17"/>
  <c r="C45" i="1"/>
  <c r="E45" i="1" l="1"/>
  <c r="E46" i="1"/>
  <c r="E47" i="1"/>
  <c r="L31" i="7"/>
  <c r="M31" i="7" s="1"/>
  <c r="N31" i="7" s="1"/>
  <c r="AA30" i="7"/>
  <c r="AB30" i="7" s="1"/>
  <c r="AC30" i="7" s="1"/>
  <c r="AF30" i="7"/>
  <c r="AG30" i="7" s="1"/>
  <c r="G3" i="17"/>
  <c r="G32" i="17"/>
  <c r="F32" i="17"/>
  <c r="G31" i="17"/>
  <c r="F31" i="17"/>
  <c r="G30" i="17"/>
  <c r="G29" i="17"/>
  <c r="F29" i="17"/>
  <c r="G28" i="17"/>
  <c r="F28" i="17"/>
  <c r="G27" i="17"/>
  <c r="F27" i="17"/>
  <c r="G24" i="17"/>
  <c r="F24" i="17"/>
  <c r="G22" i="17"/>
  <c r="F22" i="17"/>
  <c r="G21" i="17"/>
  <c r="F21" i="17"/>
  <c r="G20" i="17"/>
  <c r="G34" i="17"/>
  <c r="F34" i="17"/>
  <c r="G33" i="17"/>
  <c r="F33" i="17"/>
  <c r="G26" i="17"/>
  <c r="G25" i="17"/>
  <c r="F25" i="17"/>
  <c r="G23" i="17"/>
  <c r="F23" i="17"/>
  <c r="G19" i="17"/>
  <c r="F19" i="17"/>
  <c r="G18" i="17"/>
  <c r="F18" i="17"/>
  <c r="G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F8" i="17"/>
  <c r="G7" i="17"/>
  <c r="F7" i="17"/>
  <c r="G6" i="17"/>
  <c r="F6" i="17"/>
  <c r="G5" i="17"/>
  <c r="F5" i="17"/>
  <c r="G4" i="17"/>
  <c r="F4" i="17"/>
  <c r="F3" i="17"/>
  <c r="D32" i="17"/>
  <c r="C32" i="17"/>
  <c r="D31" i="17"/>
  <c r="C31" i="17"/>
  <c r="AA31" i="17" s="1"/>
  <c r="D30" i="17"/>
  <c r="C30" i="17"/>
  <c r="D29" i="17"/>
  <c r="C29" i="17"/>
  <c r="D28" i="17"/>
  <c r="C28" i="17"/>
  <c r="D27" i="17"/>
  <c r="C27" i="17"/>
  <c r="D24" i="17"/>
  <c r="C24" i="17"/>
  <c r="D22" i="17"/>
  <c r="C22" i="17"/>
  <c r="D21" i="17"/>
  <c r="C21" i="17"/>
  <c r="D20" i="17"/>
  <c r="D34" i="17"/>
  <c r="C34" i="17"/>
  <c r="D33" i="17"/>
  <c r="C33" i="17"/>
  <c r="D26" i="17"/>
  <c r="C26" i="17"/>
  <c r="D25" i="17"/>
  <c r="C25" i="17"/>
  <c r="D23" i="17"/>
  <c r="C23" i="17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D12" i="17"/>
  <c r="C12" i="17"/>
  <c r="D11" i="17"/>
  <c r="C11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D3" i="17"/>
  <c r="C3" i="17"/>
  <c r="L36" i="17"/>
  <c r="M36" i="17" s="1"/>
  <c r="N36" i="17" s="1"/>
  <c r="L35" i="17"/>
  <c r="M35" i="17" s="1"/>
  <c r="N35" i="17" s="1"/>
  <c r="AH35" i="17"/>
  <c r="AI35" i="17" s="1"/>
  <c r="AB36" i="17"/>
  <c r="AB35" i="17"/>
  <c r="AB36" i="5"/>
  <c r="AC36" i="5" s="1"/>
  <c r="AD36" i="5" s="1"/>
  <c r="AB35" i="5"/>
  <c r="AC35" i="5" s="1"/>
  <c r="AD35" i="5" s="1"/>
  <c r="L36" i="5"/>
  <c r="M36" i="5" s="1"/>
  <c r="N36" i="5" s="1"/>
  <c r="L35" i="5"/>
  <c r="M35" i="5" s="1"/>
  <c r="N35" i="5" s="1"/>
  <c r="AH35" i="5"/>
  <c r="AI35" i="5" s="1"/>
  <c r="AB36" i="1"/>
  <c r="AC36" i="1" s="1"/>
  <c r="AD36" i="1" s="1"/>
  <c r="AB35" i="1"/>
  <c r="AC35" i="1" s="1"/>
  <c r="AD35" i="1" s="1"/>
  <c r="AH35" i="1"/>
  <c r="AI35" i="1" s="1"/>
  <c r="L36" i="1"/>
  <c r="M36" i="1" s="1"/>
  <c r="N36" i="1" s="1"/>
  <c r="L35" i="1"/>
  <c r="M35" i="1" s="1"/>
  <c r="N35" i="1" s="1"/>
  <c r="AB36" i="13"/>
  <c r="AC36" i="13" s="1"/>
  <c r="AD36" i="13" s="1"/>
  <c r="AB35" i="13"/>
  <c r="AC35" i="13" s="1"/>
  <c r="AD35" i="13" s="1"/>
  <c r="AH35" i="13"/>
  <c r="AI35" i="13" s="1"/>
  <c r="L36" i="13"/>
  <c r="M36" i="13" s="1"/>
  <c r="N36" i="13" s="1"/>
  <c r="L35" i="13"/>
  <c r="M35" i="13" s="1"/>
  <c r="N35" i="13" s="1"/>
  <c r="AB36" i="12"/>
  <c r="AC36" i="12" s="1"/>
  <c r="AD36" i="12" s="1"/>
  <c r="AB35" i="12"/>
  <c r="AC35" i="12" s="1"/>
  <c r="AD35" i="12" s="1"/>
  <c r="AH35" i="12"/>
  <c r="AI35" i="12" s="1"/>
  <c r="M36" i="12"/>
  <c r="N36" i="12" s="1"/>
  <c r="L35" i="12"/>
  <c r="M35" i="12" s="1"/>
  <c r="N35" i="12" s="1"/>
  <c r="AC36" i="11"/>
  <c r="AD36" i="11" s="1"/>
  <c r="AB35" i="11"/>
  <c r="AC35" i="11" s="1"/>
  <c r="AD35" i="11" s="1"/>
  <c r="AH35" i="11"/>
  <c r="AI35" i="11" s="1"/>
  <c r="AH36" i="11"/>
  <c r="AI36" i="11" s="1"/>
  <c r="L35" i="11"/>
  <c r="M35" i="11" s="1"/>
  <c r="N35" i="11" s="1"/>
  <c r="L36" i="11"/>
  <c r="M36" i="11" s="1"/>
  <c r="N36" i="11" s="1"/>
  <c r="L31" i="8"/>
  <c r="M31" i="8" s="1"/>
  <c r="N31" i="8" s="1"/>
  <c r="L31" i="9"/>
  <c r="M31" i="9" s="1"/>
  <c r="N31" i="9" s="1"/>
  <c r="AA31" i="9"/>
  <c r="AB31" i="9" s="1"/>
  <c r="AC31" i="9" s="1"/>
  <c r="AA30" i="9"/>
  <c r="AB30" i="9" s="1"/>
  <c r="AC30" i="9" s="1"/>
  <c r="AF30" i="9"/>
  <c r="AG30" i="9" s="1"/>
  <c r="D6" i="9"/>
  <c r="L30" i="9"/>
  <c r="M30" i="9" s="1"/>
  <c r="N30" i="9" s="1"/>
  <c r="AF30" i="8"/>
  <c r="AG30" i="8" s="1"/>
  <c r="AA30" i="8"/>
  <c r="AB30" i="8" s="1"/>
  <c r="AC30" i="8" s="1"/>
  <c r="AA31" i="8"/>
  <c r="AB31" i="8" s="1"/>
  <c r="AC31" i="8" s="1"/>
  <c r="L30" i="8"/>
  <c r="M30" i="8" s="1"/>
  <c r="N30" i="8" s="1"/>
  <c r="C21" i="8"/>
  <c r="I21" i="8"/>
  <c r="I17" i="8"/>
  <c r="C17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J20" i="8"/>
  <c r="I20" i="8"/>
  <c r="J19" i="8"/>
  <c r="I19" i="8"/>
  <c r="J18" i="8"/>
  <c r="I18" i="8"/>
  <c r="J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J7" i="8"/>
  <c r="I7" i="8"/>
  <c r="J6" i="8"/>
  <c r="I6" i="8"/>
  <c r="J5" i="8"/>
  <c r="I5" i="8"/>
  <c r="J4" i="8"/>
  <c r="I4" i="8"/>
  <c r="J3" i="8"/>
  <c r="I3" i="8"/>
  <c r="G23" i="8"/>
  <c r="F23" i="8"/>
  <c r="G22" i="8"/>
  <c r="F22" i="8"/>
  <c r="F24" i="8"/>
  <c r="F29" i="8"/>
  <c r="D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D20" i="8"/>
  <c r="C20" i="8"/>
  <c r="D19" i="8"/>
  <c r="C19" i="8"/>
  <c r="D18" i="8"/>
  <c r="C18" i="8"/>
  <c r="D17" i="8"/>
  <c r="D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D3" i="8"/>
  <c r="C3" i="8"/>
  <c r="D5" i="7"/>
  <c r="C5" i="7"/>
  <c r="C4" i="7"/>
  <c r="D21" i="7"/>
  <c r="C21" i="7"/>
  <c r="C20" i="7"/>
  <c r="L30" i="7"/>
  <c r="M30" i="7" s="1"/>
  <c r="N30" i="7" s="1"/>
  <c r="I22" i="7"/>
  <c r="I16" i="7"/>
  <c r="C22" i="7"/>
  <c r="F18" i="7"/>
  <c r="C17" i="7"/>
  <c r="C6" i="7"/>
  <c r="H3" i="17" l="1" a="1"/>
  <c r="H3" i="17" s="1"/>
  <c r="E3" i="17" a="1"/>
  <c r="E3" i="17" s="1"/>
  <c r="K3" i="8" a="1"/>
  <c r="K3" i="8" s="1"/>
  <c r="E3" i="8" a="1"/>
  <c r="E3" i="8" s="1"/>
  <c r="AC35" i="17" a="1"/>
  <c r="AC35" i="17" s="1"/>
  <c r="AD35" i="17" s="1" a="1"/>
  <c r="AD35" i="17" s="1"/>
  <c r="L3" i="8" a="1"/>
  <c r="L3" i="8" s="1"/>
  <c r="M3" i="8" s="1" a="1"/>
  <c r="M3" i="8" s="1"/>
  <c r="AA31" i="7"/>
  <c r="AB31" i="7" s="1"/>
  <c r="AC31" i="7" s="1"/>
  <c r="AB3" i="17" a="1"/>
  <c r="AB3" i="17" s="1"/>
  <c r="AC3" i="17" s="1" a="1"/>
  <c r="AC3" i="17" s="1"/>
  <c r="AH36" i="17"/>
  <c r="AI36" i="17" s="1"/>
  <c r="I4" i="17"/>
  <c r="AH36" i="5"/>
  <c r="AI36" i="5" s="1"/>
  <c r="AH36" i="1"/>
  <c r="AI36" i="1" s="1"/>
  <c r="AH36" i="13"/>
  <c r="AI36" i="13" s="1"/>
  <c r="AH36" i="12"/>
  <c r="AI36" i="12" s="1"/>
  <c r="AF31" i="9" l="1"/>
  <c r="AG31" i="9" s="1"/>
  <c r="AF31" i="8"/>
  <c r="AG31" i="8" s="1"/>
  <c r="AF31" i="7"/>
  <c r="AG31" i="7" s="1"/>
  <c r="F19" i="7"/>
  <c r="F13" i="13"/>
  <c r="F26" i="12"/>
  <c r="F25" i="12"/>
  <c r="F13" i="12"/>
  <c r="F31" i="11"/>
  <c r="F30" i="11"/>
  <c r="F28" i="11"/>
  <c r="F13" i="11"/>
  <c r="F27" i="8"/>
  <c r="F26" i="8"/>
  <c r="F33" i="5"/>
  <c r="F32" i="5"/>
  <c r="F31" i="5"/>
  <c r="F30" i="5"/>
  <c r="F29" i="5"/>
  <c r="F26" i="5"/>
  <c r="F25" i="5"/>
  <c r="F24" i="5"/>
  <c r="F23" i="5"/>
  <c r="F22" i="5"/>
  <c r="F14" i="5"/>
  <c r="F13" i="5"/>
  <c r="F34" i="1"/>
  <c r="G33" i="1"/>
  <c r="F32" i="1"/>
  <c r="F31" i="1"/>
  <c r="F30" i="1"/>
  <c r="F28" i="1"/>
  <c r="F27" i="1"/>
  <c r="F26" i="1"/>
  <c r="F25" i="1"/>
  <c r="F24" i="1"/>
  <c r="F23" i="1"/>
  <c r="F22" i="1"/>
  <c r="F21" i="1"/>
  <c r="F20" i="1"/>
  <c r="F14" i="1"/>
  <c r="F13" i="1"/>
  <c r="F34" i="13"/>
  <c r="F33" i="13"/>
  <c r="F31" i="13"/>
  <c r="F30" i="13"/>
  <c r="F29" i="13"/>
  <c r="F28" i="13"/>
  <c r="F27" i="13"/>
  <c r="F26" i="13"/>
  <c r="F25" i="13"/>
  <c r="F21" i="13"/>
  <c r="F20" i="13"/>
  <c r="F17" i="13"/>
  <c r="F34" i="12"/>
  <c r="Z34" i="12" s="1"/>
  <c r="F33" i="12"/>
  <c r="Z33" i="12" s="1"/>
  <c r="F32" i="12"/>
  <c r="F31" i="12"/>
  <c r="F30" i="12"/>
  <c r="F29" i="12"/>
  <c r="F28" i="12"/>
  <c r="F27" i="12"/>
  <c r="F24" i="12"/>
  <c r="F22" i="12"/>
  <c r="F21" i="12"/>
  <c r="F20" i="12"/>
  <c r="F17" i="12"/>
  <c r="F34" i="11"/>
  <c r="F33" i="11"/>
  <c r="F29" i="11"/>
  <c r="F27" i="11"/>
  <c r="F24" i="11"/>
  <c r="F16" i="11"/>
  <c r="E13" i="10"/>
  <c r="F9" i="9"/>
  <c r="F10" i="9"/>
  <c r="F11" i="9"/>
  <c r="F12" i="9"/>
  <c r="F13" i="9"/>
  <c r="F14" i="9"/>
  <c r="F15" i="9"/>
  <c r="F16" i="9"/>
  <c r="F18" i="9"/>
  <c r="F19" i="9"/>
  <c r="F20" i="9"/>
  <c r="F28" i="9"/>
  <c r="F26" i="9"/>
  <c r="F25" i="9"/>
  <c r="F24" i="9"/>
  <c r="F23" i="9"/>
  <c r="G29" i="7"/>
  <c r="F29" i="7"/>
  <c r="F20" i="7"/>
  <c r="F17" i="7"/>
  <c r="F16" i="7"/>
  <c r="F15" i="7"/>
  <c r="F14" i="7"/>
  <c r="F13" i="7"/>
  <c r="F11" i="7"/>
  <c r="F10" i="7"/>
  <c r="F8" i="7"/>
  <c r="F7" i="7"/>
  <c r="F28" i="7"/>
  <c r="F27" i="7"/>
  <c r="F21" i="7"/>
  <c r="F25" i="7"/>
  <c r="F24" i="7"/>
  <c r="F23" i="7"/>
  <c r="F22" i="7"/>
  <c r="F28" i="8"/>
  <c r="F13" i="8"/>
  <c r="F16" i="8"/>
  <c r="F15" i="8"/>
  <c r="Z34" i="5" l="1"/>
  <c r="Z34" i="11"/>
  <c r="Z34" i="1"/>
  <c r="R34" i="5"/>
  <c r="C45" i="9"/>
  <c r="S9" i="10"/>
  <c r="S8" i="10"/>
  <c r="T9" i="10" s="1"/>
  <c r="S6" i="10"/>
  <c r="T6" i="10" s="1"/>
  <c r="D33" i="5"/>
  <c r="I8" i="10"/>
  <c r="J9" i="10" s="1"/>
  <c r="I9" i="10"/>
  <c r="I6" i="10"/>
  <c r="J6" i="10" s="1"/>
  <c r="C45" i="13"/>
  <c r="C45" i="12"/>
  <c r="C45" i="11"/>
  <c r="B47" i="10"/>
  <c r="E45" i="13" l="1"/>
  <c r="E46" i="13"/>
  <c r="E47" i="13"/>
  <c r="E45" i="12"/>
  <c r="E46" i="12"/>
  <c r="E47" i="12"/>
  <c r="E45" i="11"/>
  <c r="E46" i="11"/>
  <c r="E47" i="11"/>
  <c r="E46" i="9"/>
  <c r="E45" i="9"/>
  <c r="E47" i="9"/>
  <c r="T8" i="10"/>
  <c r="J8" i="10"/>
  <c r="I29" i="1"/>
  <c r="D5" i="13" l="1"/>
  <c r="J9" i="1"/>
  <c r="I9" i="1"/>
  <c r="G9" i="1"/>
  <c r="F9" i="1"/>
  <c r="D9" i="1"/>
  <c r="C9" i="1"/>
  <c r="J6" i="1"/>
  <c r="I6" i="1"/>
  <c r="G6" i="1"/>
  <c r="F6" i="1"/>
  <c r="D6" i="1"/>
  <c r="C6" i="1"/>
  <c r="J9" i="17"/>
  <c r="I9" i="17"/>
  <c r="J6" i="17"/>
  <c r="I6" i="17"/>
  <c r="G28" i="5"/>
  <c r="C23" i="10"/>
  <c r="H6" i="10"/>
  <c r="G6" i="10"/>
  <c r="F6" i="10"/>
  <c r="E6" i="10"/>
  <c r="D6" i="10"/>
  <c r="C6" i="10"/>
  <c r="H9" i="10"/>
  <c r="G9" i="10"/>
  <c r="F9" i="10"/>
  <c r="E9" i="10"/>
  <c r="D9" i="10"/>
  <c r="C9" i="10"/>
  <c r="G13" i="7"/>
  <c r="I5" i="7"/>
  <c r="G5" i="7"/>
  <c r="C3" i="7"/>
  <c r="D3" i="7"/>
  <c r="D4" i="7"/>
  <c r="J4" i="7"/>
  <c r="F5" i="7"/>
  <c r="J5" i="7"/>
  <c r="G15" i="7"/>
  <c r="G16" i="7"/>
  <c r="G22" i="7"/>
  <c r="G23" i="7"/>
  <c r="G25" i="7"/>
  <c r="F5" i="8"/>
  <c r="G5" i="8"/>
  <c r="G15" i="8"/>
  <c r="G8" i="8"/>
  <c r="D34" i="1"/>
  <c r="D33" i="1"/>
  <c r="I16" i="1"/>
  <c r="F17" i="5"/>
  <c r="I16" i="5"/>
  <c r="I6" i="5"/>
  <c r="C6" i="5"/>
  <c r="K43" i="17"/>
  <c r="H43" i="17"/>
  <c r="E4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4" i="17"/>
  <c r="I24" i="17"/>
  <c r="J22" i="17"/>
  <c r="I22" i="17"/>
  <c r="J21" i="17"/>
  <c r="I21" i="17"/>
  <c r="J20" i="17"/>
  <c r="I20" i="17"/>
  <c r="J16" i="1"/>
  <c r="I15" i="1"/>
  <c r="D3" i="1"/>
  <c r="D4" i="1"/>
  <c r="D5" i="1"/>
  <c r="D7" i="1"/>
  <c r="C34" i="1"/>
  <c r="C3" i="1"/>
  <c r="C4" i="1"/>
  <c r="C5" i="1"/>
  <c r="J34" i="17"/>
  <c r="I34" i="17"/>
  <c r="J33" i="17"/>
  <c r="I33" i="17"/>
  <c r="J26" i="17"/>
  <c r="I26" i="17"/>
  <c r="J25" i="17"/>
  <c r="I25" i="17"/>
  <c r="J23" i="17"/>
  <c r="I23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8" i="17"/>
  <c r="I8" i="17"/>
  <c r="J7" i="17"/>
  <c r="I7" i="17"/>
  <c r="J5" i="17"/>
  <c r="I5" i="17"/>
  <c r="J4" i="17"/>
  <c r="J3" i="17"/>
  <c r="I3" i="17"/>
  <c r="R34" i="17"/>
  <c r="R33" i="17"/>
  <c r="R32" i="17"/>
  <c r="R31" i="17"/>
  <c r="R30" i="17"/>
  <c r="R29" i="17"/>
  <c r="R28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J32" i="5"/>
  <c r="I32" i="5"/>
  <c r="J31" i="5"/>
  <c r="I31" i="5"/>
  <c r="J30" i="5"/>
  <c r="I30" i="5"/>
  <c r="J29" i="5"/>
  <c r="I29" i="5"/>
  <c r="J28" i="5"/>
  <c r="I28" i="5"/>
  <c r="J27" i="5"/>
  <c r="I27" i="5"/>
  <c r="J24" i="5"/>
  <c r="I24" i="5"/>
  <c r="J22" i="5"/>
  <c r="I22" i="5"/>
  <c r="J21" i="5"/>
  <c r="I21" i="5"/>
  <c r="J20" i="5"/>
  <c r="I20" i="5"/>
  <c r="G24" i="5"/>
  <c r="G32" i="5"/>
  <c r="G31" i="5"/>
  <c r="G30" i="5"/>
  <c r="G29" i="5"/>
  <c r="G27" i="5"/>
  <c r="F27" i="5"/>
  <c r="G22" i="5"/>
  <c r="G21" i="5"/>
  <c r="F21" i="5"/>
  <c r="G20" i="5"/>
  <c r="F20" i="5"/>
  <c r="D32" i="5"/>
  <c r="C32" i="5"/>
  <c r="D31" i="5"/>
  <c r="C31" i="5"/>
  <c r="D30" i="5"/>
  <c r="C30" i="5"/>
  <c r="D29" i="5"/>
  <c r="C29" i="5"/>
  <c r="D28" i="5"/>
  <c r="C28" i="5"/>
  <c r="D27" i="5"/>
  <c r="C27" i="5"/>
  <c r="D24" i="5"/>
  <c r="C24" i="5"/>
  <c r="D22" i="5"/>
  <c r="C22" i="5"/>
  <c r="D21" i="5"/>
  <c r="C21" i="5"/>
  <c r="D20" i="5"/>
  <c r="C20" i="5"/>
  <c r="J34" i="5"/>
  <c r="I34" i="5"/>
  <c r="J33" i="5"/>
  <c r="I33" i="5"/>
  <c r="J26" i="5"/>
  <c r="I26" i="5"/>
  <c r="J25" i="5"/>
  <c r="I25" i="5"/>
  <c r="J23" i="5"/>
  <c r="I23" i="5"/>
  <c r="J19" i="5"/>
  <c r="I19" i="5"/>
  <c r="J18" i="5"/>
  <c r="I18" i="5"/>
  <c r="J17" i="5"/>
  <c r="I17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J5" i="5"/>
  <c r="I5" i="5"/>
  <c r="J4" i="5"/>
  <c r="I4" i="5"/>
  <c r="J3" i="5"/>
  <c r="I3" i="5"/>
  <c r="AG3" i="5" s="1" a="1"/>
  <c r="AG3" i="5" s="1"/>
  <c r="G34" i="5"/>
  <c r="G33" i="5"/>
  <c r="G26" i="5"/>
  <c r="G25" i="5"/>
  <c r="G23" i="5"/>
  <c r="G19" i="5"/>
  <c r="F19" i="5"/>
  <c r="G18" i="5"/>
  <c r="F18" i="5"/>
  <c r="G17" i="5"/>
  <c r="G16" i="5"/>
  <c r="F16" i="5"/>
  <c r="G15" i="5"/>
  <c r="F15" i="5"/>
  <c r="G14" i="5"/>
  <c r="G13" i="5"/>
  <c r="G12" i="5"/>
  <c r="F12" i="5"/>
  <c r="G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D9" i="5"/>
  <c r="C9" i="5"/>
  <c r="D34" i="5"/>
  <c r="C34" i="5"/>
  <c r="C33" i="5"/>
  <c r="D26" i="5"/>
  <c r="C26" i="5"/>
  <c r="D25" i="5"/>
  <c r="C25" i="5"/>
  <c r="D23" i="5"/>
  <c r="C23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C8" i="5"/>
  <c r="C7" i="5"/>
  <c r="C5" i="5"/>
  <c r="C4" i="5"/>
  <c r="C3" i="5"/>
  <c r="C23" i="1"/>
  <c r="D12" i="1"/>
  <c r="C12" i="1"/>
  <c r="G7" i="1"/>
  <c r="F7" i="1"/>
  <c r="G27" i="12"/>
  <c r="G25" i="12"/>
  <c r="J43" i="5"/>
  <c r="G43" i="5"/>
  <c r="D43" i="5"/>
  <c r="J43" i="1"/>
  <c r="G43" i="1"/>
  <c r="D43" i="1"/>
  <c r="R33" i="5"/>
  <c r="W33" i="5" s="1"/>
  <c r="R32" i="5"/>
  <c r="W32" i="5" s="1"/>
  <c r="R31" i="5"/>
  <c r="W31" i="5" s="1"/>
  <c r="R30" i="5"/>
  <c r="W30" i="5" s="1"/>
  <c r="R29" i="5"/>
  <c r="W29" i="5" s="1"/>
  <c r="R28" i="5"/>
  <c r="W28" i="5" s="1"/>
  <c r="R27" i="5"/>
  <c r="W27" i="5" s="1"/>
  <c r="R26" i="5"/>
  <c r="W26" i="5" s="1"/>
  <c r="R25" i="5"/>
  <c r="W25" i="5" s="1"/>
  <c r="R24" i="5"/>
  <c r="W24" i="5" s="1"/>
  <c r="R23" i="5"/>
  <c r="W23" i="5" s="1"/>
  <c r="R22" i="5"/>
  <c r="W22" i="5" s="1"/>
  <c r="R21" i="5"/>
  <c r="W21" i="5" s="1"/>
  <c r="R20" i="5"/>
  <c r="W20" i="5" s="1"/>
  <c r="R19" i="5"/>
  <c r="W19" i="5" s="1"/>
  <c r="R18" i="5"/>
  <c r="W18" i="5" s="1"/>
  <c r="R17" i="5"/>
  <c r="W17" i="5" s="1"/>
  <c r="R16" i="5"/>
  <c r="W16" i="5" s="1"/>
  <c r="R15" i="5"/>
  <c r="W15" i="5" s="1"/>
  <c r="R14" i="5"/>
  <c r="W14" i="5" s="1"/>
  <c r="R13" i="5"/>
  <c r="W13" i="5" s="1"/>
  <c r="R12" i="5"/>
  <c r="W12" i="5" s="1"/>
  <c r="R11" i="5"/>
  <c r="W11" i="5" s="1"/>
  <c r="R10" i="5"/>
  <c r="W10" i="5" s="1"/>
  <c r="R9" i="5"/>
  <c r="W9" i="5" s="1"/>
  <c r="R8" i="5"/>
  <c r="W8" i="5" s="1"/>
  <c r="R7" i="5"/>
  <c r="W7" i="5" s="1"/>
  <c r="R6" i="5"/>
  <c r="R5" i="5"/>
  <c r="R4" i="5"/>
  <c r="W4" i="5" s="1"/>
  <c r="W3" i="5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21" i="1"/>
  <c r="J19" i="1"/>
  <c r="J18" i="1"/>
  <c r="J17" i="1"/>
  <c r="J15" i="1"/>
  <c r="J14" i="1"/>
  <c r="J13" i="1"/>
  <c r="J12" i="1"/>
  <c r="J11" i="1"/>
  <c r="J10" i="1"/>
  <c r="J8" i="1"/>
  <c r="J7" i="1"/>
  <c r="J5" i="1"/>
  <c r="J4" i="1"/>
  <c r="J3" i="1"/>
  <c r="I25" i="1"/>
  <c r="I33" i="1"/>
  <c r="I34" i="1"/>
  <c r="I32" i="1"/>
  <c r="I31" i="1"/>
  <c r="I30" i="1"/>
  <c r="I28" i="1"/>
  <c r="I27" i="1"/>
  <c r="I26" i="1"/>
  <c r="I24" i="1"/>
  <c r="I23" i="1"/>
  <c r="I22" i="1"/>
  <c r="I21" i="1"/>
  <c r="I20" i="1"/>
  <c r="I19" i="1"/>
  <c r="I18" i="1"/>
  <c r="I17" i="1"/>
  <c r="I14" i="1"/>
  <c r="I13" i="1"/>
  <c r="I12" i="1"/>
  <c r="I11" i="1"/>
  <c r="I10" i="1"/>
  <c r="I8" i="1"/>
  <c r="I7" i="1"/>
  <c r="I5" i="1"/>
  <c r="I4" i="1"/>
  <c r="I3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8" i="1"/>
  <c r="G5" i="1"/>
  <c r="G4" i="1"/>
  <c r="G3" i="1"/>
  <c r="F33" i="1"/>
  <c r="F19" i="1"/>
  <c r="F18" i="1"/>
  <c r="F17" i="1"/>
  <c r="F16" i="1"/>
  <c r="F15" i="1"/>
  <c r="F12" i="1"/>
  <c r="F11" i="1"/>
  <c r="F10" i="1"/>
  <c r="F8" i="1"/>
  <c r="F5" i="1"/>
  <c r="F4" i="1"/>
  <c r="F3" i="1"/>
  <c r="AG3" i="1" s="1" a="1"/>
  <c r="AG3" i="1" s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8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10" i="1"/>
  <c r="C8" i="1"/>
  <c r="AG3" i="17" l="1" a="1"/>
  <c r="AG3" i="17" s="1"/>
  <c r="K3" i="1" a="1"/>
  <c r="K3" i="1" s="1"/>
  <c r="Z33" i="1"/>
  <c r="E3" i="1" a="1"/>
  <c r="E3" i="1" s="1"/>
  <c r="H3" i="1" a="1"/>
  <c r="H3" i="1" s="1"/>
  <c r="K3" i="17" a="1"/>
  <c r="K3" i="17" s="1"/>
  <c r="E3" i="5" a="1"/>
  <c r="E3" i="5" s="1"/>
  <c r="H3" i="5" a="1"/>
  <c r="H3" i="5" s="1"/>
  <c r="K3" i="5" a="1"/>
  <c r="K3" i="5" s="1"/>
  <c r="U3" i="5" a="1"/>
  <c r="U3" i="5" s="1"/>
  <c r="V3" i="5" a="1"/>
  <c r="V3" i="5" s="1"/>
  <c r="W3" i="17" a="1"/>
  <c r="W3" i="17" s="1"/>
  <c r="L3" i="1" a="1"/>
  <c r="L3" i="1" s="1"/>
  <c r="M3" i="1" s="1" a="1"/>
  <c r="M3" i="1" s="1"/>
  <c r="AB3" i="1" a="1"/>
  <c r="AB3" i="1" s="1"/>
  <c r="AC3" i="1" s="1" a="1"/>
  <c r="AC3" i="1" s="1"/>
  <c r="AB3" i="5" a="1"/>
  <c r="AB3" i="5" s="1"/>
  <c r="AC3" i="5" s="1" a="1"/>
  <c r="AC3" i="5" s="1"/>
  <c r="L3" i="17" a="1"/>
  <c r="L3" i="17" s="1"/>
  <c r="L3" i="5" a="1"/>
  <c r="L3" i="5" s="1"/>
  <c r="R34" i="1"/>
  <c r="W34" i="1" s="1"/>
  <c r="R33" i="1"/>
  <c r="W33" i="1" s="1"/>
  <c r="R32" i="1"/>
  <c r="W32" i="1" s="1"/>
  <c r="R31" i="1"/>
  <c r="W31" i="1" s="1"/>
  <c r="R30" i="1"/>
  <c r="W30" i="1" s="1"/>
  <c r="R29" i="1"/>
  <c r="W29" i="1" s="1"/>
  <c r="R28" i="1"/>
  <c r="W28" i="1" s="1"/>
  <c r="R27" i="1"/>
  <c r="W27" i="1" s="1"/>
  <c r="R26" i="1"/>
  <c r="W26" i="1" s="1"/>
  <c r="R25" i="1"/>
  <c r="W25" i="1" s="1"/>
  <c r="R24" i="1"/>
  <c r="W24" i="1" s="1"/>
  <c r="R23" i="1"/>
  <c r="W23" i="1" s="1"/>
  <c r="R22" i="1"/>
  <c r="W22" i="1" s="1"/>
  <c r="R21" i="1"/>
  <c r="W21" i="1" s="1"/>
  <c r="R20" i="1"/>
  <c r="W20" i="1" s="1"/>
  <c r="R19" i="1"/>
  <c r="W19" i="1" s="1"/>
  <c r="R18" i="1"/>
  <c r="W18" i="1" s="1"/>
  <c r="R17" i="1"/>
  <c r="W17" i="1" s="1"/>
  <c r="R16" i="1"/>
  <c r="W16" i="1" s="1"/>
  <c r="R15" i="1"/>
  <c r="W15" i="1" s="1"/>
  <c r="R14" i="1"/>
  <c r="W14" i="1" s="1"/>
  <c r="R13" i="1"/>
  <c r="W13" i="1" s="1"/>
  <c r="R12" i="1"/>
  <c r="W12" i="1" s="1"/>
  <c r="R11" i="1"/>
  <c r="W11" i="1" s="1"/>
  <c r="R10" i="1"/>
  <c r="W10" i="1" s="1"/>
  <c r="R9" i="1"/>
  <c r="W9" i="1" s="1"/>
  <c r="R8" i="1"/>
  <c r="W8" i="1" s="1"/>
  <c r="R7" i="1"/>
  <c r="W7" i="1" s="1"/>
  <c r="R6" i="1"/>
  <c r="W6" i="1" s="1"/>
  <c r="R5" i="1"/>
  <c r="R4" i="1"/>
  <c r="W4" i="1" s="1"/>
  <c r="R3" i="1"/>
  <c r="W3" i="1" s="1"/>
  <c r="V3" i="17" l="1" a="1"/>
  <c r="V3" i="17" s="1"/>
  <c r="U3" i="17" a="1"/>
  <c r="U3" i="17" s="1"/>
  <c r="X4" i="1"/>
  <c r="Y4" i="1" s="1"/>
  <c r="X34" i="1"/>
  <c r="Y34" i="1" s="1"/>
  <c r="X16" i="1"/>
  <c r="AH3" i="1" a="1"/>
  <c r="AH3" i="1" s="1"/>
  <c r="AI3" i="1" s="1" a="1"/>
  <c r="AI3" i="1" s="1"/>
  <c r="X10" i="5"/>
  <c r="X30" i="5"/>
  <c r="X20" i="5"/>
  <c r="X12" i="5"/>
  <c r="X33" i="5"/>
  <c r="AH3" i="5" a="1"/>
  <c r="AH3" i="5" s="1"/>
  <c r="AI3" i="5" s="1" a="1"/>
  <c r="AI3" i="5" s="1"/>
  <c r="X23" i="5"/>
  <c r="X24" i="5"/>
  <c r="X26" i="5"/>
  <c r="X17" i="17"/>
  <c r="Y17" i="17" s="1"/>
  <c r="X16" i="17"/>
  <c r="Y16" i="17" s="1"/>
  <c r="X21" i="17"/>
  <c r="Y21" i="17" s="1"/>
  <c r="X20" i="17"/>
  <c r="Y20" i="17" s="1"/>
  <c r="X8" i="17"/>
  <c r="Y8" i="17" s="1"/>
  <c r="X4" i="17"/>
  <c r="X33" i="17"/>
  <c r="Y33" i="17" s="1"/>
  <c r="X12" i="17"/>
  <c r="Y12" i="17" s="1"/>
  <c r="X26" i="17"/>
  <c r="Y26" i="17" s="1"/>
  <c r="X24" i="17"/>
  <c r="Y24" i="17" s="1"/>
  <c r="X9" i="17"/>
  <c r="Y9" i="17" s="1"/>
  <c r="X19" i="17"/>
  <c r="Y19" i="17" s="1"/>
  <c r="M3" i="5" a="1"/>
  <c r="M3" i="5" s="1"/>
  <c r="X3" i="5"/>
  <c r="AH3" i="17" a="1"/>
  <c r="AH3" i="17" s="1"/>
  <c r="AI3" i="17" s="1" a="1"/>
  <c r="AI3" i="17" s="1"/>
  <c r="X34" i="17"/>
  <c r="Y34" i="17" s="1"/>
  <c r="X25" i="5"/>
  <c r="X32" i="5"/>
  <c r="X15" i="5"/>
  <c r="X28" i="5"/>
  <c r="X34" i="5"/>
  <c r="X28" i="17"/>
  <c r="Y28" i="17" s="1"/>
  <c r="X27" i="17"/>
  <c r="Y27" i="17" s="1"/>
  <c r="X3" i="17"/>
  <c r="Y3" i="17" s="1"/>
  <c r="X23" i="17"/>
  <c r="Y23" i="17" s="1"/>
  <c r="X31" i="17"/>
  <c r="Y31" i="17" s="1"/>
  <c r="X32" i="17"/>
  <c r="Y32" i="17" s="1"/>
  <c r="X30" i="17"/>
  <c r="Y30" i="17" s="1"/>
  <c r="X10" i="17"/>
  <c r="Y10" i="17" s="1"/>
  <c r="X25" i="17"/>
  <c r="Y25" i="17" s="1"/>
  <c r="X29" i="17"/>
  <c r="Y29" i="17" s="1"/>
  <c r="X22" i="17"/>
  <c r="Y22" i="17" s="1"/>
  <c r="X11" i="17"/>
  <c r="Y11" i="17" s="1"/>
  <c r="X13" i="17"/>
  <c r="Y13" i="17" s="1"/>
  <c r="X14" i="17"/>
  <c r="Y14" i="17" s="1"/>
  <c r="X7" i="17"/>
  <c r="Y7" i="17" s="1"/>
  <c r="X5" i="17"/>
  <c r="Y5" i="17" s="1"/>
  <c r="AD3" i="17" a="1"/>
  <c r="AD3" i="17" s="1"/>
  <c r="X22" i="5"/>
  <c r="X21" i="5"/>
  <c r="AD3" i="5" a="1"/>
  <c r="AD3" i="5" s="1"/>
  <c r="X3" i="1"/>
  <c r="Y3" i="1" s="1"/>
  <c r="W5" i="1"/>
  <c r="X5" i="1" s="1"/>
  <c r="Y5" i="1" s="1"/>
  <c r="X15" i="17"/>
  <c r="Y15" i="17" s="1"/>
  <c r="X18" i="17"/>
  <c r="Y18" i="17" s="1"/>
  <c r="X14" i="5"/>
  <c r="X19" i="5"/>
  <c r="X6" i="17"/>
  <c r="Y6" i="17" s="1"/>
  <c r="X27" i="5"/>
  <c r="X18" i="5"/>
  <c r="X16" i="5"/>
  <c r="X9" i="5"/>
  <c r="X17" i="5"/>
  <c r="X4" i="5"/>
  <c r="X8" i="5"/>
  <c r="X29" i="5"/>
  <c r="X13" i="5"/>
  <c r="X7" i="5"/>
  <c r="X31" i="5"/>
  <c r="X5" i="5"/>
  <c r="X11" i="5"/>
  <c r="X14" i="1"/>
  <c r="X10" i="1"/>
  <c r="X18" i="1"/>
  <c r="X22" i="1"/>
  <c r="X30" i="1"/>
  <c r="X6" i="1"/>
  <c r="X26" i="1"/>
  <c r="X9" i="1"/>
  <c r="X7" i="1"/>
  <c r="X11" i="1"/>
  <c r="X15" i="1"/>
  <c r="X19" i="1"/>
  <c r="X27" i="1"/>
  <c r="X31" i="1"/>
  <c r="X23" i="1"/>
  <c r="X13" i="1"/>
  <c r="X17" i="1"/>
  <c r="X21" i="1"/>
  <c r="X25" i="1"/>
  <c r="X29" i="1"/>
  <c r="X33" i="1"/>
  <c r="Y33" i="1" s="1"/>
  <c r="C3" i="13"/>
  <c r="D3" i="13"/>
  <c r="F3" i="13"/>
  <c r="G3" i="13"/>
  <c r="I3" i="13"/>
  <c r="J3" i="13"/>
  <c r="R3" i="13"/>
  <c r="W3" i="13" s="1"/>
  <c r="C4" i="13"/>
  <c r="D4" i="13"/>
  <c r="F4" i="13"/>
  <c r="G4" i="13"/>
  <c r="I4" i="13"/>
  <c r="J4" i="13"/>
  <c r="R4" i="13"/>
  <c r="W4" i="13" s="1"/>
  <c r="C5" i="13"/>
  <c r="F5" i="13"/>
  <c r="G5" i="13"/>
  <c r="I5" i="13"/>
  <c r="J5" i="13"/>
  <c r="R5" i="13"/>
  <c r="W5" i="13" s="1"/>
  <c r="C6" i="13"/>
  <c r="D6" i="13"/>
  <c r="F6" i="13"/>
  <c r="G6" i="13"/>
  <c r="I6" i="13"/>
  <c r="J6" i="13"/>
  <c r="R6" i="13"/>
  <c r="W6" i="13" s="1"/>
  <c r="C7" i="13"/>
  <c r="D7" i="13"/>
  <c r="F7" i="13"/>
  <c r="G7" i="13"/>
  <c r="I7" i="13"/>
  <c r="J7" i="13"/>
  <c r="R7" i="13"/>
  <c r="W7" i="13" s="1"/>
  <c r="C8" i="13"/>
  <c r="D8" i="13"/>
  <c r="F8" i="13"/>
  <c r="G8" i="13"/>
  <c r="I8" i="13"/>
  <c r="J8" i="13"/>
  <c r="R8" i="13"/>
  <c r="W8" i="13" s="1"/>
  <c r="C9" i="13"/>
  <c r="D9" i="13"/>
  <c r="F9" i="13"/>
  <c r="G9" i="13"/>
  <c r="I9" i="13"/>
  <c r="J9" i="13"/>
  <c r="R9" i="13"/>
  <c r="W9" i="13" s="1"/>
  <c r="C10" i="13"/>
  <c r="D10" i="13"/>
  <c r="F10" i="13"/>
  <c r="G10" i="13"/>
  <c r="I10" i="13"/>
  <c r="J10" i="13"/>
  <c r="R10" i="13"/>
  <c r="W10" i="13" s="1"/>
  <c r="C11" i="13"/>
  <c r="D11" i="13"/>
  <c r="F11" i="13"/>
  <c r="G11" i="13"/>
  <c r="I11" i="13"/>
  <c r="J11" i="13"/>
  <c r="R11" i="13"/>
  <c r="W11" i="13" s="1"/>
  <c r="C12" i="13"/>
  <c r="D12" i="13"/>
  <c r="F12" i="13"/>
  <c r="G12" i="13"/>
  <c r="I12" i="13"/>
  <c r="J12" i="13"/>
  <c r="R12" i="13"/>
  <c r="W12" i="13" s="1"/>
  <c r="C13" i="13"/>
  <c r="D13" i="13"/>
  <c r="G13" i="13"/>
  <c r="I13" i="13"/>
  <c r="J13" i="13"/>
  <c r="R13" i="13"/>
  <c r="W13" i="13" s="1"/>
  <c r="C14" i="13"/>
  <c r="D14" i="13"/>
  <c r="F14" i="13"/>
  <c r="G14" i="13"/>
  <c r="R14" i="13"/>
  <c r="W14" i="13" s="1"/>
  <c r="C15" i="13"/>
  <c r="D15" i="13"/>
  <c r="F15" i="13"/>
  <c r="G15" i="13"/>
  <c r="I15" i="13"/>
  <c r="J15" i="13"/>
  <c r="R15" i="13"/>
  <c r="W15" i="13" s="1"/>
  <c r="C16" i="13"/>
  <c r="D16" i="13"/>
  <c r="F16" i="13"/>
  <c r="G16" i="13"/>
  <c r="I16" i="13"/>
  <c r="J16" i="13"/>
  <c r="R16" i="13"/>
  <c r="W16" i="13" s="1"/>
  <c r="C17" i="13"/>
  <c r="D17" i="13"/>
  <c r="G17" i="13"/>
  <c r="I17" i="13"/>
  <c r="J17" i="13"/>
  <c r="R17" i="13"/>
  <c r="W17" i="13" s="1"/>
  <c r="C18" i="13"/>
  <c r="D18" i="13"/>
  <c r="F18" i="13"/>
  <c r="G18" i="13"/>
  <c r="I18" i="13"/>
  <c r="J18" i="13"/>
  <c r="R18" i="13"/>
  <c r="W18" i="13" s="1"/>
  <c r="C19" i="13"/>
  <c r="D19" i="13"/>
  <c r="F19" i="13"/>
  <c r="G19" i="13"/>
  <c r="I19" i="13"/>
  <c r="J19" i="13"/>
  <c r="R19" i="13"/>
  <c r="W19" i="13" s="1"/>
  <c r="C20" i="13"/>
  <c r="D20" i="13"/>
  <c r="G20" i="13"/>
  <c r="I20" i="13"/>
  <c r="J20" i="13"/>
  <c r="R20" i="13"/>
  <c r="W20" i="13" s="1"/>
  <c r="C21" i="13"/>
  <c r="D21" i="13"/>
  <c r="G21" i="13"/>
  <c r="I21" i="13"/>
  <c r="J21" i="13"/>
  <c r="R21" i="13"/>
  <c r="W21" i="13" s="1"/>
  <c r="C22" i="13"/>
  <c r="D22" i="13"/>
  <c r="F22" i="13"/>
  <c r="G22" i="13"/>
  <c r="I22" i="13"/>
  <c r="J22" i="13"/>
  <c r="R22" i="13"/>
  <c r="W22" i="13" s="1"/>
  <c r="C23" i="13"/>
  <c r="D23" i="13"/>
  <c r="F23" i="13"/>
  <c r="G23" i="13"/>
  <c r="I23" i="13"/>
  <c r="J23" i="13"/>
  <c r="R23" i="13"/>
  <c r="W23" i="13" s="1"/>
  <c r="C24" i="13"/>
  <c r="D24" i="13"/>
  <c r="F24" i="13"/>
  <c r="G24" i="13"/>
  <c r="I24" i="13"/>
  <c r="J24" i="13"/>
  <c r="R24" i="13"/>
  <c r="W24" i="13" s="1"/>
  <c r="C25" i="13"/>
  <c r="D25" i="13"/>
  <c r="G25" i="13"/>
  <c r="I25" i="13"/>
  <c r="J25" i="13"/>
  <c r="R25" i="13"/>
  <c r="W25" i="13" s="1"/>
  <c r="C26" i="13"/>
  <c r="D26" i="13"/>
  <c r="G26" i="13"/>
  <c r="I26" i="13"/>
  <c r="J26" i="13"/>
  <c r="R26" i="13"/>
  <c r="W26" i="13" s="1"/>
  <c r="C27" i="13"/>
  <c r="D27" i="13"/>
  <c r="G27" i="13"/>
  <c r="I27" i="13"/>
  <c r="J27" i="13"/>
  <c r="R27" i="13"/>
  <c r="W27" i="13" s="1"/>
  <c r="C28" i="13"/>
  <c r="D28" i="13"/>
  <c r="G28" i="13"/>
  <c r="I28" i="13"/>
  <c r="J28" i="13"/>
  <c r="R28" i="13"/>
  <c r="W28" i="13" s="1"/>
  <c r="C29" i="13"/>
  <c r="AA29" i="13" s="1"/>
  <c r="D29" i="13"/>
  <c r="G29" i="13"/>
  <c r="I29" i="13"/>
  <c r="J29" i="13"/>
  <c r="R29" i="13"/>
  <c r="W29" i="13" s="1"/>
  <c r="C30" i="13"/>
  <c r="D30" i="13"/>
  <c r="G30" i="13"/>
  <c r="I30" i="13"/>
  <c r="J30" i="13"/>
  <c r="R30" i="13"/>
  <c r="W30" i="13" s="1"/>
  <c r="C31" i="13"/>
  <c r="D31" i="13"/>
  <c r="G31" i="13"/>
  <c r="I31" i="13"/>
  <c r="J31" i="13"/>
  <c r="R31" i="13"/>
  <c r="W31" i="13" s="1"/>
  <c r="C32" i="13"/>
  <c r="D32" i="13"/>
  <c r="F32" i="13"/>
  <c r="G32" i="13"/>
  <c r="I32" i="13"/>
  <c r="J32" i="13"/>
  <c r="R32" i="13"/>
  <c r="W32" i="13" s="1"/>
  <c r="C33" i="13"/>
  <c r="D33" i="13"/>
  <c r="G33" i="13"/>
  <c r="I33" i="13"/>
  <c r="J33" i="13"/>
  <c r="R33" i="13"/>
  <c r="W33" i="13" s="1"/>
  <c r="D34" i="13"/>
  <c r="G34" i="13"/>
  <c r="I34" i="13"/>
  <c r="J34" i="13"/>
  <c r="R34" i="13"/>
  <c r="W34" i="13" s="1"/>
  <c r="B43" i="13"/>
  <c r="E43" i="13"/>
  <c r="H43" i="13"/>
  <c r="C3" i="12"/>
  <c r="D3" i="12"/>
  <c r="F3" i="12"/>
  <c r="G3" i="12"/>
  <c r="I3" i="12"/>
  <c r="J3" i="12"/>
  <c r="R3" i="12"/>
  <c r="W3" i="12" s="1"/>
  <c r="C4" i="12"/>
  <c r="D4" i="12"/>
  <c r="F4" i="12"/>
  <c r="G4" i="12"/>
  <c r="I4" i="12"/>
  <c r="J4" i="12"/>
  <c r="R4" i="12"/>
  <c r="W4" i="12" s="1"/>
  <c r="C5" i="12"/>
  <c r="D5" i="12"/>
  <c r="F5" i="12"/>
  <c r="G5" i="12"/>
  <c r="I5" i="12"/>
  <c r="J5" i="12"/>
  <c r="R5" i="12"/>
  <c r="W5" i="12" s="1"/>
  <c r="C6" i="12"/>
  <c r="D6" i="12"/>
  <c r="F6" i="12"/>
  <c r="G6" i="12"/>
  <c r="I6" i="12"/>
  <c r="J6" i="12"/>
  <c r="R6" i="12"/>
  <c r="W6" i="12" s="1"/>
  <c r="C7" i="12"/>
  <c r="D7" i="12"/>
  <c r="F7" i="12"/>
  <c r="G7" i="12"/>
  <c r="I7" i="12"/>
  <c r="J7" i="12"/>
  <c r="R7" i="12"/>
  <c r="W7" i="12" s="1"/>
  <c r="C8" i="12"/>
  <c r="D8" i="12"/>
  <c r="F8" i="12"/>
  <c r="G8" i="12"/>
  <c r="I8" i="12"/>
  <c r="J8" i="12"/>
  <c r="R8" i="12"/>
  <c r="W8" i="12" s="1"/>
  <c r="C9" i="12"/>
  <c r="D9" i="12"/>
  <c r="F9" i="12"/>
  <c r="G9" i="12"/>
  <c r="I9" i="12"/>
  <c r="J9" i="12"/>
  <c r="R9" i="12"/>
  <c r="W9" i="12" s="1"/>
  <c r="C10" i="12"/>
  <c r="D10" i="12"/>
  <c r="F10" i="12"/>
  <c r="G10" i="12"/>
  <c r="I10" i="12"/>
  <c r="J10" i="12"/>
  <c r="R10" i="12"/>
  <c r="W10" i="12" s="1"/>
  <c r="C11" i="12"/>
  <c r="D11" i="12"/>
  <c r="F11" i="12"/>
  <c r="G11" i="12"/>
  <c r="I11" i="12"/>
  <c r="J11" i="12"/>
  <c r="R11" i="12"/>
  <c r="W11" i="12" s="1"/>
  <c r="C12" i="12"/>
  <c r="D12" i="12"/>
  <c r="F12" i="12"/>
  <c r="G12" i="12"/>
  <c r="I12" i="12"/>
  <c r="J12" i="12"/>
  <c r="R12" i="12"/>
  <c r="W12" i="12" s="1"/>
  <c r="C13" i="12"/>
  <c r="D13" i="12"/>
  <c r="G13" i="12"/>
  <c r="I13" i="12"/>
  <c r="J13" i="12"/>
  <c r="R13" i="12"/>
  <c r="W13" i="12" s="1"/>
  <c r="C14" i="12"/>
  <c r="D14" i="12"/>
  <c r="F14" i="12"/>
  <c r="G14" i="12"/>
  <c r="I14" i="12"/>
  <c r="J14" i="12"/>
  <c r="R14" i="12"/>
  <c r="W14" i="12" s="1"/>
  <c r="C15" i="12"/>
  <c r="D15" i="12"/>
  <c r="F15" i="12"/>
  <c r="G15" i="12"/>
  <c r="I15" i="12"/>
  <c r="J15" i="12"/>
  <c r="R15" i="12"/>
  <c r="W15" i="12" s="1"/>
  <c r="C16" i="12"/>
  <c r="D16" i="12"/>
  <c r="F16" i="12"/>
  <c r="G16" i="12"/>
  <c r="I16" i="12"/>
  <c r="J16" i="12"/>
  <c r="R16" i="12"/>
  <c r="W16" i="12" s="1"/>
  <c r="C17" i="12"/>
  <c r="D17" i="12"/>
  <c r="G17" i="12"/>
  <c r="I17" i="12"/>
  <c r="J17" i="12"/>
  <c r="R17" i="12"/>
  <c r="W17" i="12" s="1"/>
  <c r="C18" i="12"/>
  <c r="D18" i="12"/>
  <c r="F18" i="12"/>
  <c r="G18" i="12"/>
  <c r="I18" i="12"/>
  <c r="J18" i="12"/>
  <c r="R18" i="12"/>
  <c r="W18" i="12" s="1"/>
  <c r="C19" i="12"/>
  <c r="D19" i="12"/>
  <c r="F19" i="12"/>
  <c r="G19" i="12"/>
  <c r="I19" i="12"/>
  <c r="J19" i="12"/>
  <c r="R19" i="12"/>
  <c r="W19" i="12" s="1"/>
  <c r="C20" i="12"/>
  <c r="D20" i="12"/>
  <c r="G20" i="12"/>
  <c r="I20" i="12"/>
  <c r="J20" i="12"/>
  <c r="R20" i="12"/>
  <c r="W20" i="12" s="1"/>
  <c r="C21" i="12"/>
  <c r="D21" i="12"/>
  <c r="G21" i="12"/>
  <c r="I21" i="12"/>
  <c r="J21" i="12"/>
  <c r="R21" i="12"/>
  <c r="W21" i="12" s="1"/>
  <c r="C22" i="12"/>
  <c r="D22" i="12"/>
  <c r="G22" i="12"/>
  <c r="I22" i="12"/>
  <c r="J22" i="12"/>
  <c r="R22" i="12"/>
  <c r="W22" i="12" s="1"/>
  <c r="C23" i="12"/>
  <c r="D23" i="12"/>
  <c r="F23" i="12"/>
  <c r="G23" i="12"/>
  <c r="I23" i="12"/>
  <c r="J23" i="12"/>
  <c r="R23" i="12"/>
  <c r="W23" i="12" s="1"/>
  <c r="C24" i="12"/>
  <c r="D24" i="12"/>
  <c r="G24" i="12"/>
  <c r="I24" i="12"/>
  <c r="J24" i="12"/>
  <c r="R24" i="12"/>
  <c r="W24" i="12" s="1"/>
  <c r="C25" i="12"/>
  <c r="D25" i="12"/>
  <c r="I25" i="12"/>
  <c r="J25" i="12"/>
  <c r="R25" i="12"/>
  <c r="W25" i="12" s="1"/>
  <c r="C26" i="12"/>
  <c r="D26" i="12"/>
  <c r="G26" i="12"/>
  <c r="I26" i="12"/>
  <c r="J26" i="12"/>
  <c r="R26" i="12"/>
  <c r="W26" i="12" s="1"/>
  <c r="C27" i="12"/>
  <c r="D27" i="12"/>
  <c r="I27" i="12"/>
  <c r="J27" i="12"/>
  <c r="R27" i="12"/>
  <c r="W27" i="12" s="1"/>
  <c r="C28" i="12"/>
  <c r="D28" i="12"/>
  <c r="G28" i="12"/>
  <c r="I28" i="12"/>
  <c r="J28" i="12"/>
  <c r="R28" i="12"/>
  <c r="W28" i="12" s="1"/>
  <c r="C29" i="12"/>
  <c r="D29" i="12"/>
  <c r="G29" i="12"/>
  <c r="I29" i="12"/>
  <c r="J29" i="12"/>
  <c r="R29" i="12"/>
  <c r="W29" i="12" s="1"/>
  <c r="C30" i="12"/>
  <c r="D30" i="12"/>
  <c r="G30" i="12"/>
  <c r="I30" i="12"/>
  <c r="J30" i="12"/>
  <c r="R30" i="12"/>
  <c r="W30" i="12" s="1"/>
  <c r="C31" i="12"/>
  <c r="D31" i="12"/>
  <c r="G31" i="12"/>
  <c r="I31" i="12"/>
  <c r="J31" i="12"/>
  <c r="R31" i="12"/>
  <c r="W31" i="12" s="1"/>
  <c r="C32" i="12"/>
  <c r="D32" i="12"/>
  <c r="G32" i="12"/>
  <c r="I32" i="12"/>
  <c r="J32" i="12"/>
  <c r="R32" i="12"/>
  <c r="W32" i="12" s="1"/>
  <c r="C33" i="12"/>
  <c r="D33" i="12"/>
  <c r="G33" i="12"/>
  <c r="I33" i="12"/>
  <c r="J33" i="12"/>
  <c r="R33" i="12"/>
  <c r="W33" i="12" s="1"/>
  <c r="C34" i="12"/>
  <c r="D34" i="12"/>
  <c r="G34" i="12"/>
  <c r="I34" i="12"/>
  <c r="J34" i="12"/>
  <c r="R34" i="12"/>
  <c r="W34" i="12" s="1"/>
  <c r="B43" i="12"/>
  <c r="E43" i="12"/>
  <c r="H43" i="12"/>
  <c r="C3" i="11"/>
  <c r="D3" i="11"/>
  <c r="F3" i="11"/>
  <c r="G3" i="11"/>
  <c r="I3" i="11"/>
  <c r="J3" i="11"/>
  <c r="R3" i="11"/>
  <c r="W3" i="11" s="1"/>
  <c r="C4" i="11"/>
  <c r="D4" i="11"/>
  <c r="F4" i="11"/>
  <c r="G4" i="11"/>
  <c r="I4" i="11"/>
  <c r="J4" i="11"/>
  <c r="R4" i="11"/>
  <c r="W4" i="11" s="1"/>
  <c r="C5" i="11"/>
  <c r="D5" i="11"/>
  <c r="F5" i="11"/>
  <c r="G5" i="11"/>
  <c r="I5" i="11"/>
  <c r="J5" i="11"/>
  <c r="R5" i="11"/>
  <c r="W5" i="11" s="1"/>
  <c r="C6" i="11"/>
  <c r="D6" i="11"/>
  <c r="F6" i="11"/>
  <c r="G6" i="11"/>
  <c r="I6" i="11"/>
  <c r="J6" i="11"/>
  <c r="R6" i="11"/>
  <c r="W6" i="11" s="1"/>
  <c r="C7" i="11"/>
  <c r="D7" i="11"/>
  <c r="F7" i="11"/>
  <c r="G7" i="11"/>
  <c r="I7" i="11"/>
  <c r="J7" i="11"/>
  <c r="R7" i="11"/>
  <c r="W7" i="11" s="1"/>
  <c r="C8" i="11"/>
  <c r="D8" i="11"/>
  <c r="F8" i="11"/>
  <c r="G8" i="11"/>
  <c r="I8" i="11"/>
  <c r="J8" i="11"/>
  <c r="R8" i="11"/>
  <c r="W8" i="11" s="1"/>
  <c r="C9" i="11"/>
  <c r="D9" i="11"/>
  <c r="F9" i="11"/>
  <c r="G9" i="11"/>
  <c r="I9" i="11"/>
  <c r="J9" i="11"/>
  <c r="R9" i="11"/>
  <c r="W9" i="11" s="1"/>
  <c r="C10" i="11"/>
  <c r="D10" i="11"/>
  <c r="F10" i="11"/>
  <c r="G10" i="11"/>
  <c r="I10" i="11"/>
  <c r="J10" i="11"/>
  <c r="R10" i="11"/>
  <c r="W10" i="11" s="1"/>
  <c r="C11" i="11"/>
  <c r="D11" i="11"/>
  <c r="F11" i="11"/>
  <c r="G11" i="11"/>
  <c r="I11" i="11"/>
  <c r="J11" i="11"/>
  <c r="R11" i="11"/>
  <c r="W11" i="11" s="1"/>
  <c r="C12" i="11"/>
  <c r="D12" i="11"/>
  <c r="F12" i="11"/>
  <c r="G12" i="11"/>
  <c r="I12" i="11"/>
  <c r="J12" i="11"/>
  <c r="R12" i="11"/>
  <c r="W12" i="11" s="1"/>
  <c r="C13" i="11"/>
  <c r="D13" i="11"/>
  <c r="G13" i="11"/>
  <c r="I13" i="11"/>
  <c r="J13" i="11"/>
  <c r="R13" i="11"/>
  <c r="W13" i="11" s="1"/>
  <c r="C14" i="11"/>
  <c r="D14" i="11"/>
  <c r="F14" i="11"/>
  <c r="G14" i="11"/>
  <c r="I14" i="11"/>
  <c r="J14" i="11"/>
  <c r="R14" i="11"/>
  <c r="W14" i="11" s="1"/>
  <c r="C15" i="11"/>
  <c r="D15" i="11"/>
  <c r="F15" i="11"/>
  <c r="G15" i="11"/>
  <c r="I15" i="11"/>
  <c r="J15" i="11"/>
  <c r="R15" i="11"/>
  <c r="W15" i="11" s="1"/>
  <c r="C16" i="11"/>
  <c r="D16" i="11"/>
  <c r="G16" i="11"/>
  <c r="I16" i="11"/>
  <c r="J16" i="11"/>
  <c r="R16" i="11"/>
  <c r="W16" i="11" s="1"/>
  <c r="C17" i="11"/>
  <c r="D17" i="11"/>
  <c r="F17" i="11"/>
  <c r="G17" i="11"/>
  <c r="I17" i="11"/>
  <c r="J17" i="11"/>
  <c r="R17" i="11"/>
  <c r="W17" i="11" s="1"/>
  <c r="C18" i="11"/>
  <c r="D18" i="11"/>
  <c r="F18" i="11"/>
  <c r="G18" i="11"/>
  <c r="I18" i="11"/>
  <c r="J18" i="11"/>
  <c r="R18" i="11"/>
  <c r="W18" i="11" s="1"/>
  <c r="C19" i="11"/>
  <c r="D19" i="11"/>
  <c r="F19" i="11"/>
  <c r="G19" i="11"/>
  <c r="I19" i="11"/>
  <c r="J19" i="11"/>
  <c r="R19" i="11"/>
  <c r="W19" i="11" s="1"/>
  <c r="C20" i="11"/>
  <c r="D20" i="11"/>
  <c r="F20" i="11"/>
  <c r="G20" i="11"/>
  <c r="I20" i="11"/>
  <c r="J20" i="11"/>
  <c r="R20" i="11"/>
  <c r="W20" i="11" s="1"/>
  <c r="C21" i="11"/>
  <c r="D21" i="11"/>
  <c r="F21" i="11"/>
  <c r="G21" i="11"/>
  <c r="I21" i="11"/>
  <c r="J21" i="11"/>
  <c r="R21" i="11"/>
  <c r="W21" i="11" s="1"/>
  <c r="C22" i="11"/>
  <c r="D22" i="11"/>
  <c r="F22" i="11"/>
  <c r="G22" i="11"/>
  <c r="I22" i="11"/>
  <c r="J22" i="11"/>
  <c r="R22" i="11"/>
  <c r="W22" i="11" s="1"/>
  <c r="C23" i="11"/>
  <c r="D23" i="11"/>
  <c r="F23" i="11"/>
  <c r="G23" i="11"/>
  <c r="I23" i="11"/>
  <c r="J23" i="11"/>
  <c r="R23" i="11"/>
  <c r="W23" i="11" s="1"/>
  <c r="C24" i="11"/>
  <c r="D24" i="11"/>
  <c r="G24" i="11"/>
  <c r="I24" i="11"/>
  <c r="J24" i="11"/>
  <c r="R24" i="11"/>
  <c r="W24" i="11" s="1"/>
  <c r="C25" i="11"/>
  <c r="D25" i="11"/>
  <c r="G25" i="11"/>
  <c r="I25" i="11"/>
  <c r="J25" i="11"/>
  <c r="R25" i="11"/>
  <c r="W25" i="11" s="1"/>
  <c r="C26" i="11"/>
  <c r="D26" i="11"/>
  <c r="F26" i="11"/>
  <c r="G26" i="11"/>
  <c r="I26" i="11"/>
  <c r="J26" i="11"/>
  <c r="R26" i="11"/>
  <c r="W26" i="11" s="1"/>
  <c r="C27" i="11"/>
  <c r="D27" i="11"/>
  <c r="G27" i="11"/>
  <c r="I27" i="11"/>
  <c r="J27" i="11"/>
  <c r="R27" i="11"/>
  <c r="W27" i="11" s="1"/>
  <c r="C28" i="11"/>
  <c r="D28" i="11"/>
  <c r="G28" i="11"/>
  <c r="I28" i="11"/>
  <c r="J28" i="11"/>
  <c r="R28" i="11"/>
  <c r="W28" i="11" s="1"/>
  <c r="C29" i="11"/>
  <c r="D29" i="11"/>
  <c r="G29" i="11"/>
  <c r="I29" i="11"/>
  <c r="J29" i="11"/>
  <c r="R29" i="11"/>
  <c r="W29" i="11" s="1"/>
  <c r="C30" i="11"/>
  <c r="D30" i="11"/>
  <c r="G30" i="11"/>
  <c r="J30" i="11"/>
  <c r="R30" i="11"/>
  <c r="W30" i="11" s="1"/>
  <c r="C31" i="11"/>
  <c r="D31" i="11"/>
  <c r="G31" i="11"/>
  <c r="I31" i="11"/>
  <c r="J31" i="11"/>
  <c r="R31" i="11"/>
  <c r="W31" i="11" s="1"/>
  <c r="C32" i="11"/>
  <c r="D32" i="11"/>
  <c r="F32" i="11"/>
  <c r="G32" i="11"/>
  <c r="I32" i="11"/>
  <c r="J32" i="11"/>
  <c r="R32" i="11"/>
  <c r="W32" i="11" s="1"/>
  <c r="C33" i="11"/>
  <c r="D33" i="11"/>
  <c r="G33" i="11"/>
  <c r="I33" i="11"/>
  <c r="J33" i="11"/>
  <c r="R33" i="11"/>
  <c r="W33" i="11" s="1"/>
  <c r="C34" i="11"/>
  <c r="D34" i="11"/>
  <c r="G34" i="11"/>
  <c r="I34" i="11"/>
  <c r="J34" i="11"/>
  <c r="R34" i="11"/>
  <c r="W34" i="11" s="1"/>
  <c r="B43" i="11"/>
  <c r="E43" i="11"/>
  <c r="H43" i="11"/>
  <c r="E3" i="10"/>
  <c r="F3" i="10"/>
  <c r="G3" i="10"/>
  <c r="H3" i="10"/>
  <c r="O3" i="10"/>
  <c r="P3" i="10" s="1"/>
  <c r="E4" i="10"/>
  <c r="S4" i="10" s="1"/>
  <c r="F4" i="10"/>
  <c r="O4" i="10"/>
  <c r="P4" i="10" s="1"/>
  <c r="E5" i="10"/>
  <c r="F5" i="10"/>
  <c r="G5" i="10"/>
  <c r="H5" i="10"/>
  <c r="O5" i="10"/>
  <c r="P5" i="10" s="1"/>
  <c r="O6" i="10"/>
  <c r="P6" i="10" s="1"/>
  <c r="C7" i="10"/>
  <c r="D7" i="10"/>
  <c r="E7" i="10"/>
  <c r="F7" i="10"/>
  <c r="G7" i="10"/>
  <c r="H7" i="10"/>
  <c r="O7" i="10"/>
  <c r="P7" i="10" s="1"/>
  <c r="C8" i="10"/>
  <c r="D8" i="10"/>
  <c r="E8" i="10"/>
  <c r="F8" i="10"/>
  <c r="G8" i="10"/>
  <c r="H8" i="10"/>
  <c r="O8" i="10"/>
  <c r="P8" i="10" s="1"/>
  <c r="O9" i="10"/>
  <c r="P9" i="10" s="1"/>
  <c r="C10" i="10"/>
  <c r="D10" i="10"/>
  <c r="E10" i="10"/>
  <c r="F10" i="10"/>
  <c r="G10" i="10"/>
  <c r="H10" i="10"/>
  <c r="O10" i="10"/>
  <c r="P10" i="10" s="1"/>
  <c r="C11" i="10"/>
  <c r="D11" i="10"/>
  <c r="E11" i="10"/>
  <c r="F11" i="10"/>
  <c r="G11" i="10"/>
  <c r="H11" i="10"/>
  <c r="O11" i="10"/>
  <c r="P11" i="10" s="1"/>
  <c r="C12" i="10"/>
  <c r="D12" i="10"/>
  <c r="E12" i="10"/>
  <c r="F12" i="10"/>
  <c r="G12" i="10"/>
  <c r="H12" i="10"/>
  <c r="O12" i="10"/>
  <c r="P12" i="10" s="1"/>
  <c r="C13" i="10"/>
  <c r="D13" i="10"/>
  <c r="F13" i="10"/>
  <c r="G13" i="10"/>
  <c r="H13" i="10"/>
  <c r="O13" i="10"/>
  <c r="P13" i="10" s="1"/>
  <c r="C14" i="10"/>
  <c r="D14" i="10"/>
  <c r="E14" i="10"/>
  <c r="F14" i="10"/>
  <c r="G14" i="10"/>
  <c r="H14" i="10"/>
  <c r="O14" i="10"/>
  <c r="P14" i="10" s="1"/>
  <c r="C15" i="10"/>
  <c r="D15" i="10"/>
  <c r="E15" i="10"/>
  <c r="F15" i="10"/>
  <c r="G15" i="10"/>
  <c r="H15" i="10"/>
  <c r="O15" i="10"/>
  <c r="P15" i="10" s="1"/>
  <c r="C16" i="10"/>
  <c r="D16" i="10"/>
  <c r="E16" i="10"/>
  <c r="F16" i="10"/>
  <c r="G16" i="10"/>
  <c r="H16" i="10"/>
  <c r="O16" i="10"/>
  <c r="P16" i="10" s="1"/>
  <c r="C17" i="10"/>
  <c r="D17" i="10"/>
  <c r="G17" i="10"/>
  <c r="H17" i="10"/>
  <c r="O17" i="10"/>
  <c r="P17" i="10" s="1"/>
  <c r="C18" i="10"/>
  <c r="D18" i="10"/>
  <c r="E18" i="10"/>
  <c r="F18" i="10"/>
  <c r="G18" i="10"/>
  <c r="H18" i="10"/>
  <c r="O18" i="10"/>
  <c r="P18" i="10" s="1"/>
  <c r="C19" i="10"/>
  <c r="D19" i="10"/>
  <c r="E19" i="10"/>
  <c r="F19" i="10"/>
  <c r="G19" i="10"/>
  <c r="H19" i="10"/>
  <c r="O19" i="10"/>
  <c r="P19" i="10" s="1"/>
  <c r="C20" i="10"/>
  <c r="D20" i="10"/>
  <c r="E20" i="10"/>
  <c r="F20" i="10"/>
  <c r="G20" i="10"/>
  <c r="H20" i="10"/>
  <c r="O20" i="10"/>
  <c r="P20" i="10" s="1"/>
  <c r="C21" i="10"/>
  <c r="D21" i="10"/>
  <c r="E21" i="10"/>
  <c r="F21" i="10"/>
  <c r="G21" i="10"/>
  <c r="H21" i="10"/>
  <c r="O21" i="10"/>
  <c r="P21" i="10" s="1"/>
  <c r="C22" i="10"/>
  <c r="D22" i="10"/>
  <c r="E22" i="10"/>
  <c r="F22" i="10"/>
  <c r="G22" i="10"/>
  <c r="H22" i="10"/>
  <c r="O22" i="10"/>
  <c r="P22" i="10" s="1"/>
  <c r="D23" i="10"/>
  <c r="E23" i="10"/>
  <c r="F23" i="10"/>
  <c r="G23" i="10"/>
  <c r="H23" i="10"/>
  <c r="O23" i="10"/>
  <c r="P23" i="10" s="1"/>
  <c r="C24" i="10"/>
  <c r="D24" i="10"/>
  <c r="E24" i="10"/>
  <c r="S24" i="10" s="1"/>
  <c r="F24" i="10"/>
  <c r="G24" i="10"/>
  <c r="H24" i="10"/>
  <c r="O24" i="10"/>
  <c r="P24" i="10" s="1"/>
  <c r="C25" i="10"/>
  <c r="D25" i="10"/>
  <c r="E25" i="10"/>
  <c r="G25" i="10"/>
  <c r="H25" i="10"/>
  <c r="O25" i="10"/>
  <c r="P25" i="10" s="1"/>
  <c r="C26" i="10"/>
  <c r="D26" i="10"/>
  <c r="E26" i="10"/>
  <c r="F26" i="10"/>
  <c r="G26" i="10"/>
  <c r="H26" i="10"/>
  <c r="O26" i="10"/>
  <c r="P26" i="10" s="1"/>
  <c r="C27" i="10"/>
  <c r="D27" i="10"/>
  <c r="E27" i="10"/>
  <c r="F27" i="10"/>
  <c r="G27" i="10"/>
  <c r="H27" i="10"/>
  <c r="O27" i="10"/>
  <c r="P27" i="10" s="1"/>
  <c r="C28" i="10"/>
  <c r="D28" i="10"/>
  <c r="E28" i="10"/>
  <c r="F28" i="10"/>
  <c r="G28" i="10"/>
  <c r="H28" i="10"/>
  <c r="O28" i="10"/>
  <c r="P28" i="10" s="1"/>
  <c r="C29" i="10"/>
  <c r="D29" i="10"/>
  <c r="E29" i="10"/>
  <c r="F29" i="10"/>
  <c r="G29" i="10"/>
  <c r="H29" i="10"/>
  <c r="O29" i="10"/>
  <c r="P29" i="10" s="1"/>
  <c r="C30" i="10"/>
  <c r="D30" i="10"/>
  <c r="E30" i="10"/>
  <c r="F30" i="10"/>
  <c r="G30" i="10"/>
  <c r="H30" i="10"/>
  <c r="O30" i="10"/>
  <c r="P30" i="10" s="1"/>
  <c r="C31" i="10"/>
  <c r="D31" i="10"/>
  <c r="E31" i="10"/>
  <c r="F31" i="10"/>
  <c r="G31" i="10"/>
  <c r="H31" i="10"/>
  <c r="O31" i="10"/>
  <c r="P31" i="10" s="1"/>
  <c r="C32" i="10"/>
  <c r="D32" i="10"/>
  <c r="E32" i="10"/>
  <c r="F32" i="10"/>
  <c r="G32" i="10"/>
  <c r="H32" i="10"/>
  <c r="O32" i="10"/>
  <c r="P32" i="10" s="1"/>
  <c r="C33" i="10"/>
  <c r="D33" i="10"/>
  <c r="E33" i="10"/>
  <c r="F33" i="10"/>
  <c r="G33" i="10"/>
  <c r="H33" i="10"/>
  <c r="O33" i="10"/>
  <c r="P33" i="10" s="1"/>
  <c r="C34" i="10"/>
  <c r="D34" i="10"/>
  <c r="E34" i="10"/>
  <c r="F34" i="10"/>
  <c r="G34" i="10"/>
  <c r="H34" i="10"/>
  <c r="O34" i="10"/>
  <c r="P34" i="10" s="1"/>
  <c r="B44" i="10"/>
  <c r="D44" i="10"/>
  <c r="F44" i="10"/>
  <c r="C3" i="9"/>
  <c r="D3" i="9"/>
  <c r="F3" i="9"/>
  <c r="G3" i="9"/>
  <c r="I3" i="9"/>
  <c r="J3" i="9"/>
  <c r="R3" i="9"/>
  <c r="W3" i="9" s="1"/>
  <c r="C4" i="9"/>
  <c r="D4" i="9"/>
  <c r="F4" i="9"/>
  <c r="G4" i="9"/>
  <c r="I4" i="9"/>
  <c r="J4" i="9"/>
  <c r="R4" i="9"/>
  <c r="W4" i="9" s="1"/>
  <c r="C5" i="9"/>
  <c r="D5" i="9"/>
  <c r="F5" i="9"/>
  <c r="G5" i="9"/>
  <c r="I5" i="9"/>
  <c r="J5" i="9"/>
  <c r="R5" i="9"/>
  <c r="W5" i="9" s="1"/>
  <c r="C6" i="9"/>
  <c r="F6" i="9"/>
  <c r="G6" i="9"/>
  <c r="I6" i="9"/>
  <c r="J6" i="9"/>
  <c r="R6" i="9"/>
  <c r="W6" i="9" s="1"/>
  <c r="C7" i="9"/>
  <c r="D7" i="9"/>
  <c r="F7" i="9"/>
  <c r="G7" i="9"/>
  <c r="I7" i="9"/>
  <c r="J7" i="9"/>
  <c r="R7" i="9"/>
  <c r="W7" i="9" s="1"/>
  <c r="C8" i="9"/>
  <c r="D8" i="9"/>
  <c r="F8" i="9"/>
  <c r="G8" i="9"/>
  <c r="I8" i="9"/>
  <c r="J8" i="9"/>
  <c r="R8" i="9"/>
  <c r="W8" i="9" s="1"/>
  <c r="C9" i="9"/>
  <c r="D9" i="9"/>
  <c r="G9" i="9"/>
  <c r="I9" i="9"/>
  <c r="J9" i="9"/>
  <c r="R9" i="9"/>
  <c r="W9" i="9" s="1"/>
  <c r="C10" i="9"/>
  <c r="D10" i="9"/>
  <c r="G10" i="9"/>
  <c r="I10" i="9"/>
  <c r="J10" i="9"/>
  <c r="R10" i="9"/>
  <c r="W10" i="9" s="1"/>
  <c r="C11" i="9"/>
  <c r="D11" i="9"/>
  <c r="G11" i="9"/>
  <c r="I11" i="9"/>
  <c r="J11" i="9"/>
  <c r="R11" i="9"/>
  <c r="W11" i="9" s="1"/>
  <c r="C12" i="9"/>
  <c r="D12" i="9"/>
  <c r="G12" i="9"/>
  <c r="I12" i="9"/>
  <c r="J12" i="9"/>
  <c r="R12" i="9"/>
  <c r="W12" i="9" s="1"/>
  <c r="C13" i="9"/>
  <c r="D13" i="9"/>
  <c r="G13" i="9"/>
  <c r="I13" i="9"/>
  <c r="J13" i="9"/>
  <c r="R13" i="9"/>
  <c r="W13" i="9" s="1"/>
  <c r="C14" i="9"/>
  <c r="D14" i="9"/>
  <c r="G14" i="9"/>
  <c r="I14" i="9"/>
  <c r="J14" i="9"/>
  <c r="R14" i="9"/>
  <c r="W14" i="9" s="1"/>
  <c r="C15" i="9"/>
  <c r="D15" i="9"/>
  <c r="G15" i="9"/>
  <c r="I15" i="9"/>
  <c r="J15" i="9"/>
  <c r="R15" i="9"/>
  <c r="W15" i="9" s="1"/>
  <c r="C16" i="9"/>
  <c r="D16" i="9"/>
  <c r="G16" i="9"/>
  <c r="I16" i="9"/>
  <c r="J16" i="9"/>
  <c r="R16" i="9"/>
  <c r="W16" i="9" s="1"/>
  <c r="C17" i="9"/>
  <c r="D17" i="9"/>
  <c r="F17" i="9"/>
  <c r="G17" i="9"/>
  <c r="I17" i="9"/>
  <c r="J17" i="9"/>
  <c r="R17" i="9"/>
  <c r="W17" i="9" s="1"/>
  <c r="C18" i="9"/>
  <c r="D18" i="9"/>
  <c r="G18" i="9"/>
  <c r="I18" i="9"/>
  <c r="J18" i="9"/>
  <c r="R18" i="9"/>
  <c r="W18" i="9" s="1"/>
  <c r="C19" i="9"/>
  <c r="D19" i="9"/>
  <c r="G19" i="9"/>
  <c r="I19" i="9"/>
  <c r="J19" i="9"/>
  <c r="R19" i="9"/>
  <c r="W19" i="9" s="1"/>
  <c r="C20" i="9"/>
  <c r="D20" i="9"/>
  <c r="G20" i="9"/>
  <c r="I20" i="9"/>
  <c r="J20" i="9"/>
  <c r="R20" i="9"/>
  <c r="W20" i="9" s="1"/>
  <c r="C21" i="9"/>
  <c r="D21" i="9"/>
  <c r="F21" i="9"/>
  <c r="G21" i="9"/>
  <c r="I21" i="9"/>
  <c r="J21" i="9"/>
  <c r="R21" i="9"/>
  <c r="W21" i="9" s="1"/>
  <c r="C22" i="9"/>
  <c r="D22" i="9"/>
  <c r="F22" i="9"/>
  <c r="G22" i="9"/>
  <c r="I22" i="9"/>
  <c r="J22" i="9"/>
  <c r="R22" i="9"/>
  <c r="W22" i="9" s="1"/>
  <c r="C23" i="9"/>
  <c r="D23" i="9"/>
  <c r="G23" i="9"/>
  <c r="I23" i="9"/>
  <c r="J23" i="9"/>
  <c r="R23" i="9"/>
  <c r="W23" i="9" s="1"/>
  <c r="C24" i="9"/>
  <c r="D24" i="9"/>
  <c r="G24" i="9"/>
  <c r="I24" i="9"/>
  <c r="J24" i="9"/>
  <c r="R24" i="9"/>
  <c r="W24" i="9" s="1"/>
  <c r="C25" i="9"/>
  <c r="D25" i="9"/>
  <c r="G25" i="9"/>
  <c r="I25" i="9"/>
  <c r="J25" i="9"/>
  <c r="R25" i="9"/>
  <c r="W25" i="9" s="1"/>
  <c r="C26" i="9"/>
  <c r="D26" i="9"/>
  <c r="G26" i="9"/>
  <c r="I26" i="9"/>
  <c r="J26" i="9"/>
  <c r="R26" i="9"/>
  <c r="W26" i="9" s="1"/>
  <c r="C27" i="9"/>
  <c r="D27" i="9"/>
  <c r="I27" i="9"/>
  <c r="J27" i="9"/>
  <c r="R27" i="9"/>
  <c r="W27" i="9" s="1"/>
  <c r="C28" i="9"/>
  <c r="D28" i="9"/>
  <c r="G28" i="9"/>
  <c r="I28" i="9"/>
  <c r="J28" i="9"/>
  <c r="R28" i="9"/>
  <c r="W28" i="9" s="1"/>
  <c r="C29" i="9"/>
  <c r="D29" i="9"/>
  <c r="F29" i="9"/>
  <c r="G29" i="9"/>
  <c r="I29" i="9"/>
  <c r="J29" i="9"/>
  <c r="R29" i="9"/>
  <c r="W29" i="9" s="1"/>
  <c r="E38" i="9"/>
  <c r="H38" i="9"/>
  <c r="K38" i="9"/>
  <c r="F3" i="8"/>
  <c r="G3" i="8"/>
  <c r="R3" i="8"/>
  <c r="W3" i="8" s="1"/>
  <c r="F4" i="8"/>
  <c r="G4" i="8"/>
  <c r="R4" i="8"/>
  <c r="W4" i="8" s="1"/>
  <c r="R5" i="8"/>
  <c r="W5" i="8" s="1"/>
  <c r="F6" i="8"/>
  <c r="G6" i="8"/>
  <c r="R6" i="8"/>
  <c r="W6" i="8" s="1"/>
  <c r="F7" i="8"/>
  <c r="G7" i="8"/>
  <c r="R7" i="8"/>
  <c r="W7" i="8" s="1"/>
  <c r="F8" i="8"/>
  <c r="R8" i="8"/>
  <c r="W8" i="8" s="1"/>
  <c r="F9" i="8"/>
  <c r="G9" i="8"/>
  <c r="R9" i="8"/>
  <c r="W9" i="8" s="1"/>
  <c r="F10" i="8"/>
  <c r="G10" i="8"/>
  <c r="R10" i="8"/>
  <c r="W10" i="8" s="1"/>
  <c r="F11" i="8"/>
  <c r="G11" i="8"/>
  <c r="R11" i="8"/>
  <c r="W11" i="8" s="1"/>
  <c r="F12" i="8"/>
  <c r="G12" i="8"/>
  <c r="R12" i="8"/>
  <c r="W12" i="8" s="1"/>
  <c r="G13" i="8"/>
  <c r="R13" i="8"/>
  <c r="W13" i="8" s="1"/>
  <c r="F14" i="8"/>
  <c r="G14" i="8"/>
  <c r="R14" i="8"/>
  <c r="W14" i="8" s="1"/>
  <c r="R15" i="8"/>
  <c r="W15" i="8" s="1"/>
  <c r="G16" i="8"/>
  <c r="R16" i="8"/>
  <c r="W16" i="8" s="1"/>
  <c r="F17" i="8"/>
  <c r="G17" i="8"/>
  <c r="R17" i="8"/>
  <c r="W17" i="8" s="1"/>
  <c r="F18" i="8"/>
  <c r="G18" i="8"/>
  <c r="R18" i="8"/>
  <c r="W18" i="8" s="1"/>
  <c r="F19" i="8"/>
  <c r="G19" i="8"/>
  <c r="R19" i="8"/>
  <c r="W19" i="8" s="1"/>
  <c r="F20" i="8"/>
  <c r="G20" i="8"/>
  <c r="R20" i="8"/>
  <c r="W20" i="8" s="1"/>
  <c r="F21" i="8"/>
  <c r="G21" i="8"/>
  <c r="R21" i="8"/>
  <c r="W21" i="8" s="1"/>
  <c r="R22" i="8"/>
  <c r="W22" i="8" s="1"/>
  <c r="R23" i="8"/>
  <c r="W23" i="8" s="1"/>
  <c r="G24" i="8"/>
  <c r="R24" i="8"/>
  <c r="W24" i="8" s="1"/>
  <c r="G25" i="8"/>
  <c r="R25" i="8"/>
  <c r="W25" i="8" s="1"/>
  <c r="G26" i="8"/>
  <c r="R26" i="8"/>
  <c r="W26" i="8" s="1"/>
  <c r="G27" i="8"/>
  <c r="R27" i="8"/>
  <c r="W27" i="8" s="1"/>
  <c r="G28" i="8"/>
  <c r="R28" i="8"/>
  <c r="W28" i="8" s="1"/>
  <c r="G29" i="8"/>
  <c r="R29" i="8"/>
  <c r="W29" i="8" s="1"/>
  <c r="F37" i="8"/>
  <c r="I37" i="8"/>
  <c r="L37" i="8"/>
  <c r="F3" i="7"/>
  <c r="G3" i="7"/>
  <c r="I3" i="7"/>
  <c r="J3" i="7"/>
  <c r="R3" i="7"/>
  <c r="W3" i="7" s="1"/>
  <c r="F4" i="7"/>
  <c r="G4" i="7"/>
  <c r="I4" i="7"/>
  <c r="R4" i="7"/>
  <c r="W4" i="7" s="1"/>
  <c r="R5" i="7"/>
  <c r="W5" i="7" s="1"/>
  <c r="D6" i="7"/>
  <c r="F6" i="7"/>
  <c r="G6" i="7"/>
  <c r="I6" i="7"/>
  <c r="J6" i="7"/>
  <c r="R6" i="7"/>
  <c r="W6" i="7" s="1"/>
  <c r="C7" i="7"/>
  <c r="D7" i="7"/>
  <c r="G7" i="7"/>
  <c r="I7" i="7"/>
  <c r="J7" i="7"/>
  <c r="R7" i="7"/>
  <c r="W7" i="7" s="1"/>
  <c r="C8" i="7"/>
  <c r="D8" i="7"/>
  <c r="G8" i="7"/>
  <c r="I8" i="7"/>
  <c r="J8" i="7"/>
  <c r="R8" i="7"/>
  <c r="W8" i="7" s="1"/>
  <c r="C9" i="7"/>
  <c r="D9" i="7"/>
  <c r="F9" i="7"/>
  <c r="G9" i="7"/>
  <c r="I9" i="7"/>
  <c r="J9" i="7"/>
  <c r="R9" i="7"/>
  <c r="W9" i="7" s="1"/>
  <c r="C10" i="7"/>
  <c r="D10" i="7"/>
  <c r="G10" i="7"/>
  <c r="I10" i="7"/>
  <c r="J10" i="7"/>
  <c r="R10" i="7"/>
  <c r="W10" i="7" s="1"/>
  <c r="C11" i="7"/>
  <c r="D11" i="7"/>
  <c r="G11" i="7"/>
  <c r="I11" i="7"/>
  <c r="J11" i="7"/>
  <c r="R11" i="7"/>
  <c r="W11" i="7" s="1"/>
  <c r="C12" i="7"/>
  <c r="D12" i="7"/>
  <c r="F12" i="7"/>
  <c r="G12" i="7"/>
  <c r="I12" i="7"/>
  <c r="J12" i="7"/>
  <c r="R12" i="7"/>
  <c r="W12" i="7" s="1"/>
  <c r="C13" i="7"/>
  <c r="D13" i="7"/>
  <c r="I13" i="7"/>
  <c r="J13" i="7"/>
  <c r="R13" i="7"/>
  <c r="W13" i="7" s="1"/>
  <c r="C14" i="7"/>
  <c r="D14" i="7"/>
  <c r="G14" i="7"/>
  <c r="I14" i="7"/>
  <c r="J14" i="7"/>
  <c r="R14" i="7"/>
  <c r="W14" i="7" s="1"/>
  <c r="C15" i="7"/>
  <c r="D15" i="7"/>
  <c r="I15" i="7"/>
  <c r="J15" i="7"/>
  <c r="R15" i="7"/>
  <c r="W15" i="7" s="1"/>
  <c r="C16" i="7"/>
  <c r="D16" i="7"/>
  <c r="J16" i="7"/>
  <c r="R16" i="7"/>
  <c r="W16" i="7" s="1"/>
  <c r="D17" i="7"/>
  <c r="G17" i="7"/>
  <c r="I17" i="7"/>
  <c r="J17" i="7"/>
  <c r="R17" i="7"/>
  <c r="W17" i="7" s="1"/>
  <c r="C18" i="7"/>
  <c r="D18" i="7"/>
  <c r="G18" i="7"/>
  <c r="I18" i="7"/>
  <c r="J18" i="7"/>
  <c r="R18" i="7"/>
  <c r="W18" i="7" s="1"/>
  <c r="C19" i="7"/>
  <c r="D19" i="7"/>
  <c r="G19" i="7"/>
  <c r="I19" i="7"/>
  <c r="J19" i="7"/>
  <c r="R19" i="7"/>
  <c r="W19" i="7" s="1"/>
  <c r="D20" i="7"/>
  <c r="G20" i="7"/>
  <c r="I20" i="7"/>
  <c r="J20" i="7"/>
  <c r="R20" i="7"/>
  <c r="W20" i="7" s="1"/>
  <c r="G21" i="7"/>
  <c r="I21" i="7"/>
  <c r="J21" i="7"/>
  <c r="R21" i="7"/>
  <c r="W21" i="7" s="1"/>
  <c r="D22" i="7"/>
  <c r="J22" i="7"/>
  <c r="R22" i="7"/>
  <c r="W22" i="7" s="1"/>
  <c r="C23" i="7"/>
  <c r="D23" i="7"/>
  <c r="I23" i="7"/>
  <c r="J23" i="7"/>
  <c r="R23" i="7"/>
  <c r="W23" i="7" s="1"/>
  <c r="C24" i="7"/>
  <c r="D24" i="7"/>
  <c r="G24" i="7"/>
  <c r="I24" i="7"/>
  <c r="J24" i="7"/>
  <c r="R24" i="7"/>
  <c r="W24" i="7" s="1"/>
  <c r="C25" i="7"/>
  <c r="D25" i="7"/>
  <c r="I25" i="7"/>
  <c r="J25" i="7"/>
  <c r="R25" i="7"/>
  <c r="W25" i="7" s="1"/>
  <c r="C26" i="7"/>
  <c r="D26" i="7"/>
  <c r="G26" i="7"/>
  <c r="I26" i="7"/>
  <c r="J26" i="7"/>
  <c r="R26" i="7"/>
  <c r="W26" i="7" s="1"/>
  <c r="C27" i="7"/>
  <c r="D27" i="7"/>
  <c r="G27" i="7"/>
  <c r="I27" i="7"/>
  <c r="J27" i="7"/>
  <c r="R27" i="7"/>
  <c r="C28" i="7"/>
  <c r="D28" i="7"/>
  <c r="G28" i="7"/>
  <c r="I28" i="7"/>
  <c r="J28" i="7"/>
  <c r="R28" i="7"/>
  <c r="W28" i="7" s="1"/>
  <c r="C29" i="7"/>
  <c r="D29" i="7"/>
  <c r="I29" i="7"/>
  <c r="J29" i="7"/>
  <c r="R29" i="7"/>
  <c r="W29" i="7" s="1"/>
  <c r="E38" i="7"/>
  <c r="H38" i="7"/>
  <c r="K38" i="7"/>
  <c r="AE3" i="9" l="1" a="1"/>
  <c r="AE3" i="9" s="1"/>
  <c r="AE3" i="8" a="1"/>
  <c r="AE3" i="8" s="1"/>
  <c r="AF3" i="8" s="1" a="1"/>
  <c r="AF3" i="8" s="1"/>
  <c r="AG3" i="8" s="1" a="1"/>
  <c r="AG3" i="8" s="1"/>
  <c r="AG3" i="11" a="1"/>
  <c r="AG3" i="11" s="1"/>
  <c r="E3" i="11" a="1"/>
  <c r="E3" i="11" s="1"/>
  <c r="K3" i="11" a="1"/>
  <c r="K3" i="11" s="1"/>
  <c r="H3" i="11" a="1"/>
  <c r="H3" i="11" s="1"/>
  <c r="AG3" i="12" a="1"/>
  <c r="AG3" i="12" s="1"/>
  <c r="AH3" i="12" s="1" a="1"/>
  <c r="AH3" i="12" s="1"/>
  <c r="AI3" i="12" s="1" a="1"/>
  <c r="AI3" i="12" s="1"/>
  <c r="AG3" i="13" a="1"/>
  <c r="AG3" i="13" s="1"/>
  <c r="K3" i="9" a="1"/>
  <c r="K3" i="9" s="1"/>
  <c r="H3" i="9" a="1"/>
  <c r="H3" i="9" s="1"/>
  <c r="E3" i="9" a="1"/>
  <c r="E3" i="9" s="1"/>
  <c r="H3" i="13" a="1"/>
  <c r="H3" i="13" s="1"/>
  <c r="E3" i="13" a="1"/>
  <c r="E3" i="13" s="1"/>
  <c r="K3" i="13" a="1"/>
  <c r="K3" i="13" s="1"/>
  <c r="E3" i="12" a="1"/>
  <c r="E3" i="12" s="1"/>
  <c r="H3" i="12" a="1"/>
  <c r="H3" i="12" s="1"/>
  <c r="K3" i="12" a="1"/>
  <c r="K3" i="12" s="1"/>
  <c r="H3" i="8" a="1"/>
  <c r="H3" i="8" s="1"/>
  <c r="K3" i="7" a="1"/>
  <c r="K3" i="7" s="1"/>
  <c r="E3" i="7" a="1"/>
  <c r="E3" i="7" s="1"/>
  <c r="H3" i="7" a="1"/>
  <c r="H3" i="7" s="1"/>
  <c r="AE3" i="7" a="1"/>
  <c r="AE3" i="7" s="1"/>
  <c r="AF3" i="7" s="1" a="1"/>
  <c r="AF3" i="7" s="1"/>
  <c r="AG3" i="7" s="1" a="1"/>
  <c r="AG3" i="7" s="1"/>
  <c r="U3" i="1" a="1"/>
  <c r="U3" i="1" s="1"/>
  <c r="V3" i="1" a="1"/>
  <c r="V3" i="1" s="1"/>
  <c r="V3" i="13" a="1"/>
  <c r="V3" i="13" s="1"/>
  <c r="U3" i="13" a="1"/>
  <c r="U3" i="13" s="1"/>
  <c r="U3" i="12" a="1"/>
  <c r="U3" i="12" s="1"/>
  <c r="V3" i="12" a="1"/>
  <c r="V3" i="12" s="1"/>
  <c r="U3" i="11" a="1"/>
  <c r="U3" i="11" s="1"/>
  <c r="V3" i="11" a="1"/>
  <c r="V3" i="11" s="1"/>
  <c r="U3" i="9" a="1"/>
  <c r="U3" i="9" s="1"/>
  <c r="V3" i="9" a="1"/>
  <c r="V3" i="9" s="1"/>
  <c r="V3" i="8" a="1"/>
  <c r="V3" i="8" s="1"/>
  <c r="U3" i="8" a="1"/>
  <c r="U3" i="8" s="1"/>
  <c r="V3" i="7" a="1"/>
  <c r="V3" i="7" s="1"/>
  <c r="U3" i="7" a="1"/>
  <c r="U3" i="7" s="1"/>
  <c r="L3" i="11" a="1"/>
  <c r="AB3" i="11" a="1"/>
  <c r="AB3" i="11" s="1"/>
  <c r="AC3" i="11" s="1" a="1"/>
  <c r="AC3" i="11" s="1"/>
  <c r="AB3" i="12" a="1"/>
  <c r="AB3" i="12" s="1"/>
  <c r="AC3" i="12" s="1" a="1"/>
  <c r="AC3" i="12" s="1"/>
  <c r="L3" i="12" a="1"/>
  <c r="L3" i="12" s="1"/>
  <c r="M3" i="12" s="1" a="1"/>
  <c r="M3" i="12" s="1"/>
  <c r="Y23" i="5"/>
  <c r="Y15" i="5"/>
  <c r="Y9" i="5"/>
  <c r="Y25" i="5"/>
  <c r="L3" i="9" a="1"/>
  <c r="L3" i="9" s="1"/>
  <c r="M3" i="9" s="1" a="1"/>
  <c r="M3" i="9" s="1"/>
  <c r="AA3" i="9" a="1"/>
  <c r="AA3" i="9" s="1"/>
  <c r="AB3" i="9" s="1" a="1"/>
  <c r="AB3" i="9" s="1"/>
  <c r="AA3" i="8" a="1"/>
  <c r="AA3" i="8" s="1"/>
  <c r="AB3" i="8" s="1" a="1"/>
  <c r="AB3" i="8" s="1"/>
  <c r="Y7" i="5"/>
  <c r="Y16" i="5"/>
  <c r="Y21" i="5"/>
  <c r="Y28" i="5"/>
  <c r="Y13" i="5"/>
  <c r="Y26" i="5"/>
  <c r="Y22" i="5"/>
  <c r="Y29" i="5"/>
  <c r="Y18" i="5"/>
  <c r="Y19" i="5"/>
  <c r="Y20" i="5"/>
  <c r="Y8" i="5"/>
  <c r="Y10" i="5"/>
  <c r="Y24" i="5"/>
  <c r="Y12" i="5"/>
  <c r="Y4" i="5"/>
  <c r="Y32" i="5"/>
  <c r="Y14" i="5"/>
  <c r="Y27" i="5"/>
  <c r="Y17" i="5"/>
  <c r="Y30" i="5"/>
  <c r="Y33" i="5"/>
  <c r="Y34" i="5"/>
  <c r="AB3" i="13" a="1"/>
  <c r="AB3" i="13" s="1"/>
  <c r="AC3" i="13" s="1" a="1"/>
  <c r="AC3" i="13" s="1"/>
  <c r="L3" i="13" a="1"/>
  <c r="L3" i="13" s="1"/>
  <c r="M3" i="13" s="1" a="1"/>
  <c r="M3" i="13" s="1"/>
  <c r="L3" i="7" a="1"/>
  <c r="L3" i="7" s="1"/>
  <c r="M3" i="7" s="1" a="1"/>
  <c r="M3" i="7" s="1"/>
  <c r="AA3" i="7" a="1"/>
  <c r="AA3" i="7" s="1"/>
  <c r="AB3" i="7" s="1" a="1"/>
  <c r="AB3" i="7" s="1"/>
  <c r="I22" i="10"/>
  <c r="N3" i="17" a="1"/>
  <c r="N3" i="17" s="1"/>
  <c r="Y4" i="17"/>
  <c r="N3" i="5" a="1"/>
  <c r="N3" i="5" s="1"/>
  <c r="I15" i="10"/>
  <c r="Q15" i="10" s="1"/>
  <c r="T4" i="10"/>
  <c r="I7" i="10"/>
  <c r="Q7" i="10" s="1"/>
  <c r="I33" i="10"/>
  <c r="Q33" i="10" s="1"/>
  <c r="S30" i="10"/>
  <c r="T30" i="10" s="1"/>
  <c r="S21" i="10"/>
  <c r="T21" i="10" s="1"/>
  <c r="S26" i="10"/>
  <c r="T26" i="10" s="1"/>
  <c r="S32" i="10"/>
  <c r="T32" i="10" s="1"/>
  <c r="S27" i="10"/>
  <c r="T27" i="10" s="1"/>
  <c r="T24" i="10"/>
  <c r="I17" i="10"/>
  <c r="J17" i="10" s="1"/>
  <c r="S10" i="10"/>
  <c r="T10" i="10" s="1"/>
  <c r="S7" i="10"/>
  <c r="T7" i="10" s="1"/>
  <c r="S16" i="10"/>
  <c r="T16" i="10" s="1"/>
  <c r="S11" i="10"/>
  <c r="T11" i="10" s="1"/>
  <c r="I11" i="10"/>
  <c r="J11" i="10" s="1"/>
  <c r="S12" i="10"/>
  <c r="T12" i="10" s="1"/>
  <c r="S28" i="10"/>
  <c r="T28" i="10" s="1"/>
  <c r="S19" i="10"/>
  <c r="T19" i="10" s="1"/>
  <c r="S17" i="10"/>
  <c r="T17" i="10" s="1"/>
  <c r="S14" i="10"/>
  <c r="T14" i="10" s="1"/>
  <c r="S34" i="10"/>
  <c r="T34" i="10" s="1"/>
  <c r="I34" i="10"/>
  <c r="Q34" i="10" s="1"/>
  <c r="I31" i="10"/>
  <c r="J31" i="10" s="1"/>
  <c r="I27" i="10"/>
  <c r="J27" i="10" s="1"/>
  <c r="I24" i="10"/>
  <c r="Q24" i="10" s="1"/>
  <c r="S20" i="10"/>
  <c r="T20" i="10" s="1"/>
  <c r="Y13" i="1"/>
  <c r="AD3" i="1" a="1"/>
  <c r="AD3" i="1" s="1"/>
  <c r="Y10" i="1"/>
  <c r="I25" i="10"/>
  <c r="J25" i="10" s="1"/>
  <c r="I20" i="10"/>
  <c r="J20" i="10" s="1"/>
  <c r="S31" i="10"/>
  <c r="T31" i="10" s="1"/>
  <c r="I30" i="10"/>
  <c r="J30" i="10" s="1"/>
  <c r="I21" i="10"/>
  <c r="J21" i="10" s="1"/>
  <c r="S33" i="10"/>
  <c r="T33" i="10" s="1"/>
  <c r="I32" i="10"/>
  <c r="J32" i="10" s="1"/>
  <c r="S25" i="10"/>
  <c r="T25" i="10" s="1"/>
  <c r="I18" i="10"/>
  <c r="J18" i="10" s="1"/>
  <c r="S15" i="10"/>
  <c r="T15" i="10" s="1"/>
  <c r="Y3" i="5"/>
  <c r="X23" i="8"/>
  <c r="X25" i="8"/>
  <c r="X10" i="8"/>
  <c r="Q9" i="10"/>
  <c r="Y6" i="1"/>
  <c r="X27" i="8"/>
  <c r="S23" i="10"/>
  <c r="T23" i="10" s="1"/>
  <c r="I23" i="10"/>
  <c r="J23" i="10" s="1"/>
  <c r="I3" i="10"/>
  <c r="J3" i="10" s="1"/>
  <c r="S3" i="10"/>
  <c r="T3" i="10" s="1"/>
  <c r="I5" i="10"/>
  <c r="J5" i="10" s="1"/>
  <c r="S13" i="10"/>
  <c r="T13" i="10" s="1"/>
  <c r="I13" i="10"/>
  <c r="J13" i="10" s="1"/>
  <c r="I29" i="10"/>
  <c r="J29" i="10" s="1"/>
  <c r="S29" i="10"/>
  <c r="T29" i="10" s="1"/>
  <c r="X15" i="8"/>
  <c r="I28" i="10"/>
  <c r="Q28" i="10" s="1"/>
  <c r="Y5" i="5"/>
  <c r="S22" i="10"/>
  <c r="T22" i="10" s="1"/>
  <c r="J22" i="10"/>
  <c r="S18" i="10"/>
  <c r="T18" i="10" s="1"/>
  <c r="S5" i="10"/>
  <c r="T5" i="10" s="1"/>
  <c r="Q22" i="10"/>
  <c r="I10" i="10"/>
  <c r="Q10" i="10" s="1"/>
  <c r="X22" i="8"/>
  <c r="I26" i="10"/>
  <c r="J26" i="10" s="1"/>
  <c r="I19" i="10"/>
  <c r="Q19" i="10" s="1"/>
  <c r="I16" i="10"/>
  <c r="J16" i="10" s="1"/>
  <c r="I14" i="10"/>
  <c r="Q14" i="10" s="1"/>
  <c r="I12" i="10"/>
  <c r="J12" i="10" s="1"/>
  <c r="I4" i="10"/>
  <c r="Q4" i="10" s="1"/>
  <c r="Y31" i="5"/>
  <c r="Y11" i="5"/>
  <c r="Y14" i="1"/>
  <c r="Y22" i="1"/>
  <c r="Y30" i="1"/>
  <c r="Y18" i="1"/>
  <c r="Y26" i="1"/>
  <c r="Y25" i="1"/>
  <c r="Y17" i="1"/>
  <c r="Y31" i="1"/>
  <c r="Y19" i="1"/>
  <c r="Y11" i="1"/>
  <c r="X20" i="1"/>
  <c r="X12" i="1"/>
  <c r="X32" i="1"/>
  <c r="X24" i="1"/>
  <c r="X8" i="1"/>
  <c r="X28" i="1"/>
  <c r="Y29" i="1"/>
  <c r="Y21" i="1"/>
  <c r="Y23" i="1"/>
  <c r="Y27" i="1"/>
  <c r="Y15" i="1"/>
  <c r="Y7" i="1"/>
  <c r="Y9" i="1"/>
  <c r="Q6" i="10"/>
  <c r="Q8" i="10"/>
  <c r="L3" i="11" l="1"/>
  <c r="M3" i="11" s="1" a="1"/>
  <c r="M3" i="11" s="1"/>
  <c r="L43" i="11"/>
  <c r="X26" i="11"/>
  <c r="X18" i="11"/>
  <c r="X32" i="11"/>
  <c r="X6" i="11"/>
  <c r="X28" i="11"/>
  <c r="X4" i="11"/>
  <c r="X24" i="11"/>
  <c r="X7" i="9"/>
  <c r="X10" i="9"/>
  <c r="X12" i="11"/>
  <c r="X34" i="11"/>
  <c r="X11" i="11"/>
  <c r="X25" i="11"/>
  <c r="X10" i="11"/>
  <c r="X31" i="11"/>
  <c r="X30" i="11"/>
  <c r="X8" i="11"/>
  <c r="X16" i="11"/>
  <c r="Y16" i="11" s="1"/>
  <c r="X14" i="11"/>
  <c r="Y14" i="11" s="1"/>
  <c r="X27" i="12"/>
  <c r="Y27" i="12" s="1"/>
  <c r="X34" i="12"/>
  <c r="Y34" i="12" s="1"/>
  <c r="X15" i="12"/>
  <c r="Y15" i="12" s="1"/>
  <c r="X7" i="12"/>
  <c r="Y7" i="12" s="1"/>
  <c r="X33" i="12"/>
  <c r="Y33" i="12" s="1"/>
  <c r="X24" i="7"/>
  <c r="Y24" i="7" s="1"/>
  <c r="X9" i="7"/>
  <c r="Y9" i="7" s="1"/>
  <c r="X16" i="7"/>
  <c r="Y16" i="7" s="1"/>
  <c r="X20" i="7"/>
  <c r="X22" i="7"/>
  <c r="Y22" i="7" s="1"/>
  <c r="X27" i="7"/>
  <c r="Y27" i="7" s="1"/>
  <c r="X10" i="7"/>
  <c r="Y10" i="7" s="1"/>
  <c r="X8" i="7"/>
  <c r="Y8" i="7" s="1"/>
  <c r="X21" i="7"/>
  <c r="Y21" i="7" s="1"/>
  <c r="X7" i="7"/>
  <c r="X18" i="7"/>
  <c r="Y18" i="7" s="1"/>
  <c r="X13" i="7"/>
  <c r="Y13" i="7" s="1"/>
  <c r="X4" i="7"/>
  <c r="Y4" i="7" s="1"/>
  <c r="X25" i="7"/>
  <c r="Y25" i="7" s="1"/>
  <c r="X3" i="7"/>
  <c r="Y3" i="7" s="1"/>
  <c r="X6" i="7"/>
  <c r="Y6" i="7" s="1"/>
  <c r="X29" i="7"/>
  <c r="Y29" i="7" s="1"/>
  <c r="X14" i="7"/>
  <c r="X29" i="9"/>
  <c r="X21" i="9"/>
  <c r="Y21" i="9" s="1"/>
  <c r="X6" i="9"/>
  <c r="X18" i="9"/>
  <c r="Y18" i="9" s="1"/>
  <c r="X5" i="9"/>
  <c r="Y5" i="9" s="1"/>
  <c r="X16" i="9"/>
  <c r="Y16" i="9" s="1"/>
  <c r="X8" i="9"/>
  <c r="Y8" i="9" s="1"/>
  <c r="X3" i="9"/>
  <c r="Y3" i="9" s="1"/>
  <c r="X27" i="9"/>
  <c r="Y27" i="9" s="1"/>
  <c r="X15" i="9"/>
  <c r="Y15" i="9" s="1"/>
  <c r="X23" i="11"/>
  <c r="X20" i="11"/>
  <c r="AH3" i="11" a="1"/>
  <c r="AH3" i="11" s="1"/>
  <c r="AI3" i="11" s="1" a="1"/>
  <c r="AI3" i="11" s="1"/>
  <c r="X13" i="12"/>
  <c r="Y13" i="12" s="1"/>
  <c r="X29" i="12"/>
  <c r="Y29" i="12" s="1"/>
  <c r="X19" i="12"/>
  <c r="Y19" i="12" s="1"/>
  <c r="X17" i="12"/>
  <c r="Y17" i="12" s="1"/>
  <c r="X9" i="12"/>
  <c r="Y9" i="12" s="1"/>
  <c r="X3" i="12"/>
  <c r="Y3" i="12" s="1"/>
  <c r="X25" i="12"/>
  <c r="Y25" i="12" s="1"/>
  <c r="X8" i="13"/>
  <c r="Y8" i="13" s="1"/>
  <c r="X7" i="13"/>
  <c r="Y7" i="13" s="1"/>
  <c r="X23" i="13"/>
  <c r="Y23" i="13" s="1"/>
  <c r="X5" i="13"/>
  <c r="Y5" i="13" s="1"/>
  <c r="X33" i="13"/>
  <c r="Y33" i="13" s="1"/>
  <c r="X34" i="13"/>
  <c r="Y34" i="13" s="1"/>
  <c r="AF3" i="9" a="1"/>
  <c r="AF3" i="9" s="1"/>
  <c r="AG3" i="9" s="1" a="1"/>
  <c r="AG3" i="9" s="1"/>
  <c r="Y6" i="9"/>
  <c r="X3" i="13"/>
  <c r="Y3" i="13" s="1"/>
  <c r="X28" i="13"/>
  <c r="Y28" i="13" s="1"/>
  <c r="X22" i="13"/>
  <c r="Y22" i="13" s="1"/>
  <c r="X11" i="13"/>
  <c r="Y11" i="13" s="1"/>
  <c r="X27" i="13"/>
  <c r="Y27" i="13" s="1"/>
  <c r="X12" i="13"/>
  <c r="Y12" i="13" s="1"/>
  <c r="AH3" i="13" a="1"/>
  <c r="AH3" i="13" s="1"/>
  <c r="AI3" i="13" s="1" a="1"/>
  <c r="AI3" i="13" s="1"/>
  <c r="X31" i="13"/>
  <c r="Y31" i="13" s="1"/>
  <c r="X13" i="13"/>
  <c r="Y13" i="13" s="1"/>
  <c r="X9" i="13"/>
  <c r="Y9" i="13" s="1"/>
  <c r="X32" i="13"/>
  <c r="Y32" i="13" s="1"/>
  <c r="X6" i="13"/>
  <c r="Y6" i="13" s="1"/>
  <c r="X5" i="7"/>
  <c r="Y5" i="7" s="1"/>
  <c r="X17" i="7"/>
  <c r="Y17" i="7" s="1"/>
  <c r="X15" i="7"/>
  <c r="Y15" i="7" s="1"/>
  <c r="Y23" i="8"/>
  <c r="X17" i="13"/>
  <c r="Y17" i="13" s="1"/>
  <c r="J7" i="10"/>
  <c r="R7" i="10" s="1"/>
  <c r="J15" i="10"/>
  <c r="Q3" i="10"/>
  <c r="R3" i="10" s="1"/>
  <c r="X19" i="13"/>
  <c r="Y19" i="13" s="1"/>
  <c r="X15" i="13"/>
  <c r="Y15" i="13" s="1"/>
  <c r="X29" i="13"/>
  <c r="Y29" i="13" s="1"/>
  <c r="X18" i="13"/>
  <c r="Y18" i="13" s="1"/>
  <c r="X24" i="13"/>
  <c r="Y24" i="13" s="1"/>
  <c r="X25" i="13"/>
  <c r="Y25" i="13" s="1"/>
  <c r="X20" i="13"/>
  <c r="Y20" i="13" s="1"/>
  <c r="X16" i="13"/>
  <c r="Y16" i="13" s="1"/>
  <c r="X26" i="13"/>
  <c r="Y26" i="13" s="1"/>
  <c r="X31" i="12"/>
  <c r="Y31" i="12" s="1"/>
  <c r="X23" i="12"/>
  <c r="Y23" i="12" s="1"/>
  <c r="X27" i="11"/>
  <c r="X5" i="11"/>
  <c r="X7" i="11"/>
  <c r="X22" i="11"/>
  <c r="X33" i="11"/>
  <c r="X21" i="11"/>
  <c r="X29" i="11"/>
  <c r="X13" i="11"/>
  <c r="J33" i="10"/>
  <c r="R33" i="10" s="1"/>
  <c r="J10" i="10"/>
  <c r="R10" i="10" s="1"/>
  <c r="J14" i="10"/>
  <c r="R14" i="10" s="1"/>
  <c r="Q25" i="10"/>
  <c r="R25" i="10" s="1"/>
  <c r="Q17" i="10"/>
  <c r="R17" i="10" s="1"/>
  <c r="J34" i="10"/>
  <c r="R34" i="10" s="1"/>
  <c r="J28" i="10"/>
  <c r="R28" i="10" s="1"/>
  <c r="Q31" i="10"/>
  <c r="R31" i="10" s="1"/>
  <c r="Q16" i="10"/>
  <c r="R16" i="10" s="1"/>
  <c r="J24" i="10"/>
  <c r="R24" i="10" s="1"/>
  <c r="Q21" i="10"/>
  <c r="R21" i="10" s="1"/>
  <c r="Q30" i="10"/>
  <c r="R30" i="10" s="1"/>
  <c r="Q26" i="10"/>
  <c r="R26" i="10" s="1"/>
  <c r="Q18" i="10"/>
  <c r="R18" i="10" s="1"/>
  <c r="R15" i="10"/>
  <c r="J19" i="10"/>
  <c r="R19" i="10" s="1"/>
  <c r="U3" i="10" a="1"/>
  <c r="U3" i="10" s="1"/>
  <c r="Q27" i="10"/>
  <c r="R27" i="10" s="1"/>
  <c r="X14" i="9"/>
  <c r="Y14" i="9" s="1"/>
  <c r="X13" i="9"/>
  <c r="Y13" i="9" s="1"/>
  <c r="X20" i="9"/>
  <c r="Y20" i="9" s="1"/>
  <c r="X22" i="9"/>
  <c r="Y22" i="9" s="1"/>
  <c r="X20" i="8"/>
  <c r="Y20" i="8" s="1"/>
  <c r="X5" i="8"/>
  <c r="Y5" i="8" s="1"/>
  <c r="X17" i="8"/>
  <c r="Y17" i="8" s="1"/>
  <c r="X14" i="8"/>
  <c r="Y14" i="8" s="1"/>
  <c r="X26" i="8"/>
  <c r="Y26" i="8" s="1"/>
  <c r="X19" i="7"/>
  <c r="Y19" i="7" s="1"/>
  <c r="X12" i="7"/>
  <c r="Y12" i="7" s="1"/>
  <c r="X28" i="7"/>
  <c r="Y28" i="7" s="1"/>
  <c r="Y20" i="7"/>
  <c r="X11" i="7"/>
  <c r="Y11" i="7" s="1"/>
  <c r="X23" i="7"/>
  <c r="Y23" i="7" s="1"/>
  <c r="AD3" i="13" a="1"/>
  <c r="AD3" i="13" s="1"/>
  <c r="AD3" i="12" a="1"/>
  <c r="AD3" i="12" s="1"/>
  <c r="AD3" i="11" a="1"/>
  <c r="AD3" i="11" s="1"/>
  <c r="AC3" i="9" a="1"/>
  <c r="AC3" i="9" s="1"/>
  <c r="AC3" i="8" a="1"/>
  <c r="AC3" i="8" s="1"/>
  <c r="N3" i="1" a="1"/>
  <c r="N3" i="1" s="1"/>
  <c r="AC3" i="7" a="1"/>
  <c r="AC3" i="7" s="1"/>
  <c r="Y14" i="7"/>
  <c r="X26" i="7"/>
  <c r="Y26" i="7" s="1"/>
  <c r="Y25" i="8"/>
  <c r="X21" i="8"/>
  <c r="Y21" i="8" s="1"/>
  <c r="X7" i="8"/>
  <c r="Y7" i="8" s="1"/>
  <c r="X24" i="9"/>
  <c r="Y24" i="9" s="1"/>
  <c r="Y29" i="9"/>
  <c r="X26" i="9"/>
  <c r="Y26" i="9" s="1"/>
  <c r="Q20" i="10"/>
  <c r="R20" i="10" s="1"/>
  <c r="R9" i="10"/>
  <c r="Q11" i="10"/>
  <c r="R11" i="10" s="1"/>
  <c r="Q32" i="10"/>
  <c r="R32" i="10" s="1"/>
  <c r="R22" i="10"/>
  <c r="Q12" i="10"/>
  <c r="R12" i="10" s="1"/>
  <c r="X5" i="12"/>
  <c r="Y5" i="12" s="1"/>
  <c r="X11" i="12"/>
  <c r="Y11" i="12" s="1"/>
  <c r="X21" i="12"/>
  <c r="Y21" i="12" s="1"/>
  <c r="X30" i="13"/>
  <c r="Y30" i="13" s="1"/>
  <c r="X21" i="13"/>
  <c r="Y21" i="13" s="1"/>
  <c r="X10" i="13"/>
  <c r="Y10" i="13" s="1"/>
  <c r="X4" i="13"/>
  <c r="Y4" i="13" s="1"/>
  <c r="X14" i="13"/>
  <c r="Y14" i="13" s="1"/>
  <c r="X19" i="9"/>
  <c r="Y19" i="9" s="1"/>
  <c r="X11" i="9"/>
  <c r="Y11" i="9" s="1"/>
  <c r="X12" i="9"/>
  <c r="Y12" i="9" s="1"/>
  <c r="X17" i="9"/>
  <c r="Y17" i="9" s="1"/>
  <c r="Y10" i="9"/>
  <c r="X4" i="9"/>
  <c r="Y4" i="9" s="1"/>
  <c r="X25" i="9"/>
  <c r="Y25" i="9" s="1"/>
  <c r="X28" i="9"/>
  <c r="Y28" i="9" s="1"/>
  <c r="X9" i="9"/>
  <c r="Y9" i="9" s="1"/>
  <c r="X23" i="9"/>
  <c r="Y23" i="9" s="1"/>
  <c r="Y27" i="8"/>
  <c r="Y10" i="8"/>
  <c r="X16" i="8"/>
  <c r="Y16" i="8" s="1"/>
  <c r="X24" i="8"/>
  <c r="Y24" i="8" s="1"/>
  <c r="X18" i="8"/>
  <c r="Y18" i="8" s="1"/>
  <c r="Y22" i="8"/>
  <c r="Y15" i="8"/>
  <c r="X29" i="8"/>
  <c r="Y29" i="8" s="1"/>
  <c r="X13" i="8"/>
  <c r="Y13" i="8" s="1"/>
  <c r="X28" i="8"/>
  <c r="Y28" i="8" s="1"/>
  <c r="X19" i="8"/>
  <c r="Y19" i="8" s="1"/>
  <c r="X12" i="8"/>
  <c r="Y12" i="8" s="1"/>
  <c r="X4" i="8"/>
  <c r="Y4" i="8" s="1"/>
  <c r="X8" i="8"/>
  <c r="Y8" i="8" s="1"/>
  <c r="X3" i="8"/>
  <c r="Y3" i="8" s="1"/>
  <c r="X9" i="8"/>
  <c r="Y9" i="8" s="1"/>
  <c r="X11" i="8"/>
  <c r="Y11" i="8" s="1"/>
  <c r="X6" i="8"/>
  <c r="Y6" i="8" s="1"/>
  <c r="J4" i="10"/>
  <c r="R4" i="10" s="1"/>
  <c r="X3" i="11"/>
  <c r="X19" i="11"/>
  <c r="X17" i="11"/>
  <c r="Q5" i="10"/>
  <c r="R5" i="10" s="1"/>
  <c r="Q13" i="10"/>
  <c r="R13" i="10" s="1"/>
  <c r="Q23" i="10"/>
  <c r="R23" i="10" s="1"/>
  <c r="X9" i="11"/>
  <c r="Q29" i="10"/>
  <c r="R29" i="10" s="1"/>
  <c r="X15" i="11"/>
  <c r="Y24" i="1"/>
  <c r="Y8" i="1"/>
  <c r="Y12" i="1"/>
  <c r="Y28" i="1"/>
  <c r="Y32" i="1"/>
  <c r="Y20" i="1"/>
  <c r="X4" i="12"/>
  <c r="X12" i="12"/>
  <c r="X20" i="12"/>
  <c r="X28" i="12"/>
  <c r="X6" i="12"/>
  <c r="X14" i="12"/>
  <c r="X32" i="12"/>
  <c r="X22" i="12"/>
  <c r="X8" i="12"/>
  <c r="X16" i="12"/>
  <c r="X24" i="12"/>
  <c r="X30" i="12"/>
  <c r="X10" i="12"/>
  <c r="X18" i="12"/>
  <c r="X26" i="12"/>
  <c r="R8" i="10"/>
  <c r="R6" i="10"/>
  <c r="Y5" i="11" l="1"/>
  <c r="Y31" i="11"/>
  <c r="Y24" i="11"/>
  <c r="Y27" i="11"/>
  <c r="Y20" i="11"/>
  <c r="Y10" i="11"/>
  <c r="Y15" i="11"/>
  <c r="Y17" i="11"/>
  <c r="Y26" i="11"/>
  <c r="Y13" i="11"/>
  <c r="Y23" i="11"/>
  <c r="Y25" i="11"/>
  <c r="Y28" i="11"/>
  <c r="Y6" i="11"/>
  <c r="Y32" i="11"/>
  <c r="Y12" i="11"/>
  <c r="Y7" i="11"/>
  <c r="Y30" i="11"/>
  <c r="Y18" i="11"/>
  <c r="Y19" i="11"/>
  <c r="Y29" i="11"/>
  <c r="Y11" i="11"/>
  <c r="Y9" i="11"/>
  <c r="Y3" i="11"/>
  <c r="Y21" i="11"/>
  <c r="Y34" i="11"/>
  <c r="Y33" i="11"/>
  <c r="Y22" i="11"/>
  <c r="Y8" i="11"/>
  <c r="N3" i="13" a="1"/>
  <c r="N3" i="13" s="1"/>
  <c r="N3" i="12" a="1"/>
  <c r="N3" i="12" s="1"/>
  <c r="N3" i="11" a="1"/>
  <c r="N3" i="11" s="1"/>
  <c r="Y4" i="11"/>
  <c r="K3" i="10" a="1"/>
  <c r="K3" i="10" s="1"/>
  <c r="N3" i="9" a="1"/>
  <c r="N3" i="9" s="1"/>
  <c r="Y7" i="9"/>
  <c r="N3" i="8" a="1"/>
  <c r="N3" i="8" s="1"/>
  <c r="Y7" i="7"/>
  <c r="N3" i="7" a="1"/>
  <c r="N3" i="7" s="1"/>
  <c r="Y10" i="12"/>
  <c r="Y18" i="12"/>
  <c r="Y30" i="12"/>
  <c r="Y16" i="12"/>
  <c r="Y22" i="12"/>
  <c r="Y14" i="12"/>
  <c r="Y28" i="12"/>
  <c r="Y12" i="12"/>
  <c r="Y26" i="12"/>
  <c r="Y24" i="12"/>
  <c r="Y8" i="12"/>
  <c r="Y32" i="12"/>
  <c r="Y6" i="12"/>
  <c r="Y20" i="12"/>
  <c r="Y4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<sst xmlns="http://schemas.openxmlformats.org/spreadsheetml/2006/main" count="5650" uniqueCount="1437">
  <si>
    <t>LAM-ICP-MS RESULTS - DETECTION LIMIT FILTERED</t>
  </si>
  <si>
    <t>user = N/A; file = Ap15a21; run = 021; parameter set = Element Menu Name; last calculated:</t>
  </si>
  <si>
    <t>Filter = &lt;3 X LLD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</si>
  <si>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</si>
  <si>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</si>
  <si>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</si>
  <si>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</si>
  <si>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</si>
  <si>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</si>
  <si>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</si>
  <si>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</si>
  <si>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</si>
  <si>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</si>
  <si>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</si>
  <si>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Mo</t>
  </si>
  <si>
    <t>Ru</t>
  </si>
  <si>
    <t>Rh</t>
  </si>
  <si>
    <t>Pd</t>
  </si>
  <si>
    <t>Ag</t>
  </si>
  <si>
    <t>Sn</t>
  </si>
  <si>
    <t>Sb</t>
  </si>
  <si>
    <t>W</t>
  </si>
  <si>
    <t>Re</t>
  </si>
  <si>
    <t>Os</t>
  </si>
  <si>
    <t>Ir</t>
  </si>
  <si>
    <t>Pt</t>
  </si>
  <si>
    <t>Au</t>
  </si>
  <si>
    <t>Pb</t>
  </si>
  <si>
    <t>Bi</t>
  </si>
  <si>
    <t>Peak</t>
  </si>
  <si>
    <t>Abltn</t>
  </si>
  <si>
    <t>Comments</t>
  </si>
  <si>
    <t>Isotopic mass</t>
  </si>
  <si>
    <t>secs</t>
  </si>
  <si>
    <t>yield</t>
  </si>
  <si>
    <t>ppm</t>
  </si>
  <si>
    <t>Chondrite</t>
  </si>
  <si>
    <t>Run detection limit</t>
  </si>
  <si>
    <t>Ap15a01           01</t>
  </si>
  <si>
    <t>NIST610 80um 10Hz 62% 3.04Jcm-2</t>
  </si>
  <si>
    <t>Ap15a02           02</t>
  </si>
  <si>
    <t>&lt;0.09</t>
  </si>
  <si>
    <t>NIST610 80um 10Hz 62% 3.33Jcm-2</t>
  </si>
  <si>
    <t>std-1             03</t>
  </si>
  <si>
    <t>Coahuila 80um 10Hz 62% 2.87Jcm-2</t>
  </si>
  <si>
    <t>std-2             04</t>
  </si>
  <si>
    <t>&lt;0.89</t>
  </si>
  <si>
    <t>Coahuila 80um 10Hz 62% 2.70Jcm-2</t>
  </si>
  <si>
    <t>Ap15a05           05</t>
  </si>
  <si>
    <t>&lt;0.13</t>
  </si>
  <si>
    <t>Filomena 80um 10Hz 62% 3.44Jcm-2</t>
  </si>
  <si>
    <t>Ap15a06           06</t>
  </si>
  <si>
    <t>N8-4 metal 80um 10Hz 62% 2.87Jcm-2</t>
  </si>
  <si>
    <t>Ap15a07           07</t>
  </si>
  <si>
    <t>&lt;0.21</t>
  </si>
  <si>
    <t>&lt;0.44</t>
  </si>
  <si>
    <t>&lt;0.15</t>
  </si>
  <si>
    <t>&lt;0.06</t>
  </si>
  <si>
    <t>&lt;0.05</t>
  </si>
  <si>
    <t>&lt;0.07</t>
  </si>
  <si>
    <t>N8-4 troilite 80um 10Hz 62% 2.98Jcm-2</t>
  </si>
  <si>
    <t>Ap15a08           08</t>
  </si>
  <si>
    <t>N8-4 troilite 80um 10Hz 62% 2.93Jcm-2</t>
  </si>
  <si>
    <t>Ap15a09           09</t>
  </si>
  <si>
    <t>&lt;0.18</t>
  </si>
  <si>
    <t>&lt;0.74</t>
  </si>
  <si>
    <t>&lt;0.76</t>
  </si>
  <si>
    <t>N8-4 troilite 55um 5Hz 62% 3.20Jcm-2</t>
  </si>
  <si>
    <t>Ap15a10           10</t>
  </si>
  <si>
    <t>&lt;0.99</t>
  </si>
  <si>
    <t>N8-4 troilite 55um 10Hz 62% 3.33Jcm-2</t>
  </si>
  <si>
    <t>Ap15a11           11</t>
  </si>
  <si>
    <t>&lt;0.38</t>
  </si>
  <si>
    <t>&lt;0.77</t>
  </si>
  <si>
    <t>&lt;0.22</t>
  </si>
  <si>
    <t>N8-4 troilite 55um 5Hz 62% 3.39Jcm-2</t>
  </si>
  <si>
    <t>Ap15a12           12</t>
  </si>
  <si>
    <t>N8-4 liquid 80um 5Hz 62% 2.87Jcm-2</t>
  </si>
  <si>
    <t>Ap15a13           13</t>
  </si>
  <si>
    <t>&lt;0.86</t>
  </si>
  <si>
    <t>Ap15a14           14</t>
  </si>
  <si>
    <t>N8-4 liquid 80um 5Hz 62% 3.33Jcm-2</t>
  </si>
  <si>
    <t>Ap15a15           15</t>
  </si>
  <si>
    <t>N8-4 metal 80um 5Hz 62% 3.10Jcm-2</t>
  </si>
  <si>
    <t>Ap15a16           16</t>
  </si>
  <si>
    <t>N8-4 metal 80um 5Hz 62% 2.70Jcm-2</t>
  </si>
  <si>
    <t>std-3             17</t>
  </si>
  <si>
    <t>Coahuila 80um 10Hz 62% 3.04Jcm-2</t>
  </si>
  <si>
    <t>std-4             18</t>
  </si>
  <si>
    <t>Coahuila 80um 10Hz 62% 2.93Jcm-2</t>
  </si>
  <si>
    <t>Ap15a19           19</t>
  </si>
  <si>
    <t>NIST610 80um 10Hz 62% 3.10Jcm-2</t>
  </si>
  <si>
    <t>Ap15a20           20</t>
  </si>
  <si>
    <t>NIST610 80um 10Hz 62% 2.93Jcm-2</t>
  </si>
  <si>
    <t/>
  </si>
  <si>
    <t>nbs 610</t>
  </si>
  <si>
    <t>std-1                 03</t>
  </si>
  <si>
    <t>std-2                 04</t>
  </si>
  <si>
    <t>std-3                 17</t>
  </si>
  <si>
    <t>std-4                 18</t>
  </si>
  <si>
    <t>std-1             01</t>
  </si>
  <si>
    <t>std-2             02</t>
  </si>
  <si>
    <t>Ap15a03           03</t>
  </si>
  <si>
    <t>&lt;1.29</t>
  </si>
  <si>
    <t>&lt;0.14</t>
  </si>
  <si>
    <t>&lt;2.46</t>
  </si>
  <si>
    <t>&lt;1.47</t>
  </si>
  <si>
    <t>Ap15a04           04</t>
  </si>
  <si>
    <t>&lt;1.03</t>
  </si>
  <si>
    <t>&lt;4.31</t>
  </si>
  <si>
    <t>&lt;1.09</t>
  </si>
  <si>
    <t>&lt;0.60</t>
  </si>
  <si>
    <t>&lt;0.78</t>
  </si>
  <si>
    <t>&lt;0.82</t>
  </si>
  <si>
    <t>&lt;1.14</t>
  </si>
  <si>
    <t>&lt;0.40</t>
  </si>
  <si>
    <t>&lt;0.50</t>
  </si>
  <si>
    <t>&lt;0.52</t>
  </si>
  <si>
    <t>&lt;0.20</t>
  </si>
  <si>
    <t>&lt;0.68</t>
  </si>
  <si>
    <t>&lt;0.24</t>
  </si>
  <si>
    <t>&lt;6.37</t>
  </si>
  <si>
    <t>&lt;0.63</t>
  </si>
  <si>
    <t>&lt;0.03</t>
  </si>
  <si>
    <t>&lt;0.08</t>
  </si>
  <si>
    <t>&lt;0.17</t>
  </si>
  <si>
    <t>&lt;0.56</t>
  </si>
  <si>
    <t>&lt;0.55</t>
  </si>
  <si>
    <t>&lt;0.36</t>
  </si>
  <si>
    <t>&lt;0.90</t>
  </si>
  <si>
    <t>&lt;0.47</t>
  </si>
  <si>
    <t>&lt;0.19</t>
  </si>
  <si>
    <t>Ap15a17           17</t>
  </si>
  <si>
    <t>&lt;0.28</t>
  </si>
  <si>
    <t>&lt;0.30</t>
  </si>
  <si>
    <t>&lt;0.42</t>
  </si>
  <si>
    <t>Ap15a18           18</t>
  </si>
  <si>
    <t>&lt;0.73</t>
  </si>
  <si>
    <t>&lt;4.16</t>
  </si>
  <si>
    <t>&lt;0.32</t>
  </si>
  <si>
    <t>&lt;1.36</t>
  </si>
  <si>
    <t>&lt;0.39</t>
  </si>
  <si>
    <t>std-3             19</t>
  </si>
  <si>
    <t>std-4             20</t>
  </si>
  <si>
    <t>Filomena</t>
  </si>
  <si>
    <t>Coahulia</t>
  </si>
  <si>
    <t>std-1                 01</t>
  </si>
  <si>
    <t>std-2                 02</t>
  </si>
  <si>
    <t>std-3                 19</t>
  </si>
  <si>
    <t>std-4                 20</t>
  </si>
  <si>
    <t>calculated:</t>
  </si>
  <si>
    <t>Ap15b05           05</t>
  </si>
  <si>
    <t>N8-4 metal 80um 5Hz 62% 2.87Jcm-2</t>
  </si>
  <si>
    <t>Ap15b06           06</t>
  </si>
  <si>
    <t>N8-4 metal 80um 5Hz 62% 3.16Jcm-2</t>
  </si>
  <si>
    <t>Ap15b07           07</t>
  </si>
  <si>
    <t>&lt;0.45</t>
  </si>
  <si>
    <t>&lt;0.51</t>
  </si>
  <si>
    <t>&lt;1.13</t>
  </si>
  <si>
    <t>&lt;0.79</t>
  </si>
  <si>
    <t>&lt;0.31</t>
  </si>
  <si>
    <t>&lt;0.57</t>
  </si>
  <si>
    <t>N8-4 troilite 55um 5Hz 62% 3.82Jcm-2</t>
  </si>
  <si>
    <t>Ap15b08           08</t>
  </si>
  <si>
    <t>&lt;1.30</t>
  </si>
  <si>
    <t>N8-4 troilite 55um 5Hz 62% 3.45Jcm-2</t>
  </si>
  <si>
    <t>Ap15b09           09</t>
  </si>
  <si>
    <t>&lt;0.12</t>
  </si>
  <si>
    <t>N8-4 liquid 80um 5Hz 62% 2.93Jcm-2</t>
  </si>
  <si>
    <t>Ap15b10           10</t>
  </si>
  <si>
    <t>&lt;1.16</t>
  </si>
  <si>
    <t>&lt;0.01</t>
  </si>
  <si>
    <t>N8-4 troilite 80um 5Hz 62% 3.27Jcm-2</t>
  </si>
  <si>
    <t>Ap15b11           11</t>
  </si>
  <si>
    <t>N8-4 metal 80um 5Hz 62% 2.64Jcm-2</t>
  </si>
  <si>
    <t>Ap15b12           12</t>
  </si>
  <si>
    <t>N8-4 troilite 55um 5Hz 62% 3.02Jcm-2</t>
  </si>
  <si>
    <t>std-3             16</t>
  </si>
  <si>
    <t>std-4             17</t>
  </si>
  <si>
    <t>&lt;0.25</t>
  </si>
  <si>
    <t>&lt;0.16</t>
  </si>
  <si>
    <t>&lt;0.67</t>
  </si>
  <si>
    <t>&lt;3.64</t>
  </si>
  <si>
    <t>&lt;0.71</t>
  </si>
  <si>
    <t>&lt;0.35</t>
  </si>
  <si>
    <t>&lt;0.11</t>
  </si>
  <si>
    <t>&lt;6.29</t>
  </si>
  <si>
    <t>&lt;4.02</t>
  </si>
  <si>
    <t>&lt;2.54</t>
  </si>
  <si>
    <t>&lt;0.70</t>
  </si>
  <si>
    <t>&lt;0.92</t>
  </si>
  <si>
    <t>&lt;0.43</t>
  </si>
  <si>
    <t>&lt;0.29</t>
  </si>
  <si>
    <t>&lt;1.88</t>
  </si>
  <si>
    <t>&lt;0.34</t>
  </si>
  <si>
    <t>std-3             14</t>
  </si>
  <si>
    <t>std-4             15</t>
  </si>
  <si>
    <t>&lt;1.22</t>
  </si>
  <si>
    <t>&lt;6.96</t>
  </si>
  <si>
    <t>&lt;1.58</t>
  </si>
  <si>
    <t>&lt;2.11</t>
  </si>
  <si>
    <t>&lt;2.85</t>
  </si>
  <si>
    <t>&lt;0.65</t>
  </si>
  <si>
    <t>&lt;5.31</t>
  </si>
  <si>
    <t>&lt;1.19</t>
  </si>
  <si>
    <t>&lt;1.11</t>
  </si>
  <si>
    <t>std-1                  03</t>
  </si>
  <si>
    <t>std-2                  04</t>
  </si>
  <si>
    <t>std-1                  01</t>
  </si>
  <si>
    <t>std-2                  02</t>
  </si>
  <si>
    <t>&lt;3.08</t>
  </si>
  <si>
    <t>&lt;0.23</t>
  </si>
  <si>
    <t>&lt;4.54</t>
  </si>
  <si>
    <t>&lt;0.69</t>
  </si>
  <si>
    <t>&lt;0.04</t>
  </si>
  <si>
    <t>&lt;2.98</t>
  </si>
  <si>
    <t>&lt;8.90</t>
  </si>
  <si>
    <t>std-3             13</t>
  </si>
  <si>
    <t>std-4             14</t>
  </si>
  <si>
    <t>user = N/A; file = My04a21; run = 021; parameter set = Element Menu Name; last calculated:</t>
  </si>
  <si>
    <t>My04a01           01</t>
  </si>
  <si>
    <t>&lt;651.37</t>
  </si>
  <si>
    <t>&lt;324.58</t>
  </si>
  <si>
    <t>NIST610 80um 10Hz 62% 3.79Jcm-2</t>
  </si>
  <si>
    <t>My04a02           02</t>
  </si>
  <si>
    <t>&lt;792.32</t>
  </si>
  <si>
    <t>&lt;381.82</t>
  </si>
  <si>
    <t>NIST610 80um 10Hz 62% 3.39Jcm-2</t>
  </si>
  <si>
    <t>Coahuila 80um 10Hz 62% 3.71Jcm-2</t>
  </si>
  <si>
    <t>Coahuila 80um 10Hz 62% 3.16Jcm-2</t>
  </si>
  <si>
    <t>My04a05           05</t>
  </si>
  <si>
    <t>Filomena 80um 10Hz 62% 3.33Jcm-2</t>
  </si>
  <si>
    <t>My04a06           06</t>
  </si>
  <si>
    <t>&lt;2.74</t>
  </si>
  <si>
    <t>N8-3 metal 80um 10Hz 62% 3.21Jcm-2</t>
  </si>
  <si>
    <t>My04a07           07</t>
  </si>
  <si>
    <t>N8-3 troilite 80um 5Hz 62% 3.10Jcm-2</t>
  </si>
  <si>
    <t>My04a08           08</t>
  </si>
  <si>
    <t>&lt;3.61</t>
  </si>
  <si>
    <t>&lt;0.02</t>
  </si>
  <si>
    <t>N8-3 troilite 80um 5Hz 62% 2.98Jcm-2</t>
  </si>
  <si>
    <t>My04a09           09</t>
  </si>
  <si>
    <t>My04a10           10</t>
  </si>
  <si>
    <t>N8-3 troilite 80um 5Hz 62% 2.81Jcm-2</t>
  </si>
  <si>
    <t>My04a11           11</t>
  </si>
  <si>
    <t>&lt;3.42</t>
  </si>
  <si>
    <t>N8-3 metal 80um 5Hz 62% 2.76Jcm-2</t>
  </si>
  <si>
    <t>My04a12           12</t>
  </si>
  <si>
    <t>&lt;4.95</t>
  </si>
  <si>
    <t>N8-3 metal 80um 5Hz 62% 3.44Jcm-2</t>
  </si>
  <si>
    <t>My04a13           13</t>
  </si>
  <si>
    <t>N8-3 liquid 80um 5Hz 62% 2.76Jcm-2</t>
  </si>
  <si>
    <t>My04a14           14</t>
  </si>
  <si>
    <t>&lt;4.73</t>
  </si>
  <si>
    <t>N8-3 liquid 80um 5Hz 62% 2.98Jcm-2</t>
  </si>
  <si>
    <t>My04a15           15</t>
  </si>
  <si>
    <t>&lt;4.58</t>
  </si>
  <si>
    <t>N8-3 liquid 80um 5Hz 62% 3.10Jcm-2</t>
  </si>
  <si>
    <t>My04a16           16</t>
  </si>
  <si>
    <t>&lt;3.55</t>
  </si>
  <si>
    <t>N8-3 troilite 80um 5Hz 62% 2.93Jcm-2</t>
  </si>
  <si>
    <t>Coahuila 80um 10Hz 62% 2.47Jcm-2</t>
  </si>
  <si>
    <t>My04a19           19</t>
  </si>
  <si>
    <t>&lt;1181.85</t>
  </si>
  <si>
    <t>&lt;513.43</t>
  </si>
  <si>
    <t>&lt;0.10</t>
  </si>
  <si>
    <t>My04a20           20</t>
  </si>
  <si>
    <t>&lt;1179.03</t>
  </si>
  <si>
    <t>&lt;593.25</t>
  </si>
  <si>
    <t>NIST610 80um 10Hz 62% 2.70Jcm-2</t>
  </si>
  <si>
    <t>Coa</t>
  </si>
  <si>
    <t>COA</t>
  </si>
  <si>
    <t>&lt;983.79</t>
  </si>
  <si>
    <t>&lt;542.37</t>
  </si>
  <si>
    <t>&lt;1196.66</t>
  </si>
  <si>
    <t>&lt;638.03</t>
  </si>
  <si>
    <t>My04a03           03</t>
  </si>
  <si>
    <t>&lt;3.04</t>
  </si>
  <si>
    <t>&lt;1.83</t>
  </si>
  <si>
    <t>&lt;0.26</t>
  </si>
  <si>
    <t>&lt;0.54</t>
  </si>
  <si>
    <t>&lt;0.49</t>
  </si>
  <si>
    <t>My04a04           04</t>
  </si>
  <si>
    <t>&lt;2.66</t>
  </si>
  <si>
    <t>&lt;4.00</t>
  </si>
  <si>
    <t>&lt;0.27</t>
  </si>
  <si>
    <t>&lt;0.62</t>
  </si>
  <si>
    <t>&lt;2.70</t>
  </si>
  <si>
    <t>&lt;1.77</t>
  </si>
  <si>
    <t>&lt;4.70</t>
  </si>
  <si>
    <t>&lt;0.58</t>
  </si>
  <si>
    <t>&lt;6.49</t>
  </si>
  <si>
    <t>&lt;3.74</t>
  </si>
  <si>
    <t>&lt;0.53</t>
  </si>
  <si>
    <t>&lt;8.11</t>
  </si>
  <si>
    <t>&lt;3.34</t>
  </si>
  <si>
    <t>&lt;11.75</t>
  </si>
  <si>
    <t>&lt;4.25</t>
  </si>
  <si>
    <t>&lt;4.89</t>
  </si>
  <si>
    <t>&lt;4.75</t>
  </si>
  <si>
    <t>&lt;3.68</t>
  </si>
  <si>
    <t>My04a17           17</t>
  </si>
  <si>
    <t>&lt;2.80</t>
  </si>
  <si>
    <t>&lt;2.56</t>
  </si>
  <si>
    <t>&lt;5.32</t>
  </si>
  <si>
    <t>My04a18           18</t>
  </si>
  <si>
    <t>&lt;2.72</t>
  </si>
  <si>
    <t>&lt;9.84</t>
  </si>
  <si>
    <t>&lt;0.72</t>
  </si>
  <si>
    <t>&lt;1784.98</t>
  </si>
  <si>
    <t>&lt;857.96</t>
  </si>
  <si>
    <t>&lt;1780.72</t>
  </si>
  <si>
    <t>&lt;991.34</t>
  </si>
  <si>
    <t>NIST</t>
  </si>
  <si>
    <t>std-3                  19</t>
  </si>
  <si>
    <t>std-4                  20</t>
  </si>
  <si>
    <t>std-3                  17</t>
  </si>
  <si>
    <t>std-4                  18</t>
  </si>
  <si>
    <t>Hoba 80um 7Hz 67% 2.93Jcm-2</t>
  </si>
  <si>
    <t>&lt;1.64</t>
  </si>
  <si>
    <t>&lt;5.17</t>
  </si>
  <si>
    <t>Hoba 80um 7Hz 67% 2.87Jcm-2</t>
  </si>
  <si>
    <t>&lt;1.65</t>
  </si>
  <si>
    <t>&lt;4.56</t>
  </si>
  <si>
    <t>Coahuila 80um 7Hz 67% 2.61Jcm-2</t>
  </si>
  <si>
    <t>&lt;4.40</t>
  </si>
  <si>
    <t>&lt;0.41</t>
  </si>
  <si>
    <t>Au06d18           18</t>
  </si>
  <si>
    <t>Coahuila 80um 7Hz 67% 2.96Jcm-2</t>
  </si>
  <si>
    <t>&lt;3.27</t>
  </si>
  <si>
    <t>Au06d17           17</t>
  </si>
  <si>
    <t>CH2-2 BR (troilite) 55um 7Hz 67% 3.02Jcm-2</t>
  </si>
  <si>
    <t>Au06d16           16</t>
  </si>
  <si>
    <t>CH2-2 BR (solid) 55um 7Hz 67% 3.14Jcm-2</t>
  </si>
  <si>
    <t>&lt;42.42</t>
  </si>
  <si>
    <t>Au06d15           15</t>
  </si>
  <si>
    <t>CH2-2 BR (solid) 55um 7Hz 67% 3.39Jcm-2</t>
  </si>
  <si>
    <t>&lt;53.89</t>
  </si>
  <si>
    <t>&lt;2.63</t>
  </si>
  <si>
    <t>Au06d14           14</t>
  </si>
  <si>
    <t>CH2-2 BR (troilite) 80um 7Hz 67% 2.53Jcm-2</t>
  </si>
  <si>
    <t>&lt;3.11</t>
  </si>
  <si>
    <t>Au06d13           13</t>
  </si>
  <si>
    <t>CH2-2 BR (troilite) 80um 7Hz 67% 2.64Jcm-2</t>
  </si>
  <si>
    <t>&lt;2.55</t>
  </si>
  <si>
    <t>&lt;1.59</t>
  </si>
  <si>
    <t>Au06d12           12</t>
  </si>
  <si>
    <t>CH2-2 BR (solid) 80um 7Hz 67% 2.76Jcm-2</t>
  </si>
  <si>
    <t>&lt;15.13</t>
  </si>
  <si>
    <t>Au06d11           11</t>
  </si>
  <si>
    <t>CH2-2 BR (troilite) 80um 7Hz 67% 2.87Jcm-2</t>
  </si>
  <si>
    <t>&lt;2.62</t>
  </si>
  <si>
    <t>Au06d10           10</t>
  </si>
  <si>
    <t>CH2-2 BR (liquid) 100um 7Hz 67% 3.68Jcm-2</t>
  </si>
  <si>
    <t>&lt;1.46</t>
  </si>
  <si>
    <t>Au06d09           09</t>
  </si>
  <si>
    <t>CH2-2 BR (liquid) 100um 7Hz 67% 3.17Jcm-2</t>
  </si>
  <si>
    <t>&lt;1.57</t>
  </si>
  <si>
    <t>Au06d08           08</t>
  </si>
  <si>
    <t>CH2-2 BR (liquid) 100um 7Hz 67% 3.49Jcm-2</t>
  </si>
  <si>
    <t>Au06d07           07</t>
  </si>
  <si>
    <t>CH2-2 BR (liquid) 100um 7Hz 67% 3.62Jcm-2</t>
  </si>
  <si>
    <t>Au06d06           06</t>
  </si>
  <si>
    <t>Filomena 80um 7Hz 67% 3.33Jcm-2</t>
  </si>
  <si>
    <t>&lt;3.21</t>
  </si>
  <si>
    <t>Au06d05           05</t>
  </si>
  <si>
    <t>Coahuila 80um 7Hz 67% 3.21Jcm-2</t>
  </si>
  <si>
    <t>&lt;4.43</t>
  </si>
  <si>
    <t>&lt;4.22</t>
  </si>
  <si>
    <t>Au06d04           04</t>
  </si>
  <si>
    <t>Coahuila 80um 7Hz 67% 3.27Jcm-2</t>
  </si>
  <si>
    <t>&lt;2.91</t>
  </si>
  <si>
    <t>Au06d03           03</t>
  </si>
  <si>
    <t>Hoba 80um 7Hz 67% 3.21Jcm-2</t>
  </si>
  <si>
    <t>&lt;3.01</t>
  </si>
  <si>
    <t>Hoba 80um 7Hz 67% 3.10Jcm-2</t>
  </si>
  <si>
    <t>&lt;3.33</t>
  </si>
  <si>
    <t>&lt;2.22</t>
  </si>
  <si>
    <t>user = N/A; file = Au06d19; run = 024; parameter set = Element Menu Name; last calculated:</t>
  </si>
  <si>
    <t>Total</t>
  </si>
  <si>
    <t>S</t>
  </si>
  <si>
    <t>27.41 wt% S</t>
  </si>
  <si>
    <t>20.07 wt% Ni</t>
  </si>
  <si>
    <t>52.5 wt% Fe</t>
  </si>
  <si>
    <t>40 at% S</t>
  </si>
  <si>
    <t>16 at% Ni</t>
  </si>
  <si>
    <t>44 at% Fe</t>
  </si>
  <si>
    <t>CH2</t>
  </si>
  <si>
    <t>Solid (Avg. wt%)</t>
  </si>
  <si>
    <t>Troilite (Avg. wt%)</t>
  </si>
  <si>
    <t>Liquid (Avg. wt%)</t>
  </si>
  <si>
    <t>Hoba</t>
  </si>
  <si>
    <t>850 °C</t>
  </si>
  <si>
    <t>3 days</t>
  </si>
  <si>
    <t>CH2-2</t>
  </si>
  <si>
    <t>&lt;1.52</t>
  </si>
  <si>
    <t>&lt;20.91</t>
  </si>
  <si>
    <t>&lt;0.59</t>
  </si>
  <si>
    <t>&lt;5.47</t>
  </si>
  <si>
    <t>&lt;2.00</t>
  </si>
  <si>
    <t>&lt;182.90</t>
  </si>
  <si>
    <t>Au06d20           20</t>
  </si>
  <si>
    <t>&lt;0.46</t>
  </si>
  <si>
    <t>&lt;8.73</t>
  </si>
  <si>
    <t>&lt;1.23</t>
  </si>
  <si>
    <t>&lt;14.77</t>
  </si>
  <si>
    <t>&lt;10.99</t>
  </si>
  <si>
    <t>&lt;5.22</t>
  </si>
  <si>
    <t>&lt;2.28</t>
  </si>
  <si>
    <t>&lt;186.77</t>
  </si>
  <si>
    <t>Au06d19           19</t>
  </si>
  <si>
    <t>&lt;3.62</t>
  </si>
  <si>
    <t>&lt;3.95</t>
  </si>
  <si>
    <t>&lt;170.64</t>
  </si>
  <si>
    <t>&lt;2.83</t>
  </si>
  <si>
    <t>&lt;1.53</t>
  </si>
  <si>
    <t>&lt;214.37</t>
  </si>
  <si>
    <t>&lt;6.42</t>
  </si>
  <si>
    <t>&lt;-11.12</t>
  </si>
  <si>
    <t>&lt;25.07</t>
  </si>
  <si>
    <t>&lt;23.73</t>
  </si>
  <si>
    <t>&lt;1016.16</t>
  </si>
  <si>
    <t>W-184</t>
  </si>
  <si>
    <t>&lt;27.75</t>
  </si>
  <si>
    <t>&lt;30.14</t>
  </si>
  <si>
    <t>&lt;1087.45</t>
  </si>
  <si>
    <t>&lt;4.52</t>
  </si>
  <si>
    <t>&lt;-6.47</t>
  </si>
  <si>
    <t>Sn-118</t>
  </si>
  <si>
    <t>&lt;1.25</t>
  </si>
  <si>
    <t>&lt;3.19</t>
  </si>
  <si>
    <t>&lt;-4.75</t>
  </si>
  <si>
    <t>&lt;22.95</t>
  </si>
  <si>
    <t>&lt;8.46</t>
  </si>
  <si>
    <t>&lt;302.37</t>
  </si>
  <si>
    <t>Pd-105</t>
  </si>
  <si>
    <t>&lt;3.58</t>
  </si>
  <si>
    <t>&lt;-5.50</t>
  </si>
  <si>
    <t>&lt;23.59</t>
  </si>
  <si>
    <t>&lt;-3.71</t>
  </si>
  <si>
    <t>Ru-101</t>
  </si>
  <si>
    <t>&lt;-3.83</t>
  </si>
  <si>
    <t>&lt;0.88</t>
  </si>
  <si>
    <t>Mo-95</t>
  </si>
  <si>
    <t>Hoba?</t>
  </si>
  <si>
    <t>&lt;-3.38</t>
  </si>
  <si>
    <t>&lt;28.07</t>
  </si>
  <si>
    <t>&lt;-3.78</t>
  </si>
  <si>
    <t>&lt;22.66</t>
  </si>
  <si>
    <t>Ge-73</t>
  </si>
  <si>
    <t>&lt;7.42</t>
  </si>
  <si>
    <t>&lt;2.58</t>
  </si>
  <si>
    <t>&lt;100.13</t>
  </si>
  <si>
    <t>Ge-72</t>
  </si>
  <si>
    <t>&lt;5.15</t>
  </si>
  <si>
    <t>&lt;2.21</t>
  </si>
  <si>
    <t>&lt;307.09</t>
  </si>
  <si>
    <t>Ga-69</t>
  </si>
  <si>
    <t>&lt;3.10</t>
  </si>
  <si>
    <t>&lt;1.05</t>
  </si>
  <si>
    <t>&lt;113.26</t>
  </si>
  <si>
    <t>Zn-67</t>
  </si>
  <si>
    <t>&lt;6.73</t>
  </si>
  <si>
    <t>&lt;1.39</t>
  </si>
  <si>
    <t>&lt;14.50</t>
  </si>
  <si>
    <t>&lt;2.52</t>
  </si>
  <si>
    <t>&lt;115.00</t>
  </si>
  <si>
    <t>Au06d02           02</t>
  </si>
  <si>
    <t>Zn-66</t>
  </si>
  <si>
    <t>&lt;8.70</t>
  </si>
  <si>
    <t>&lt;1.68</t>
  </si>
  <si>
    <t>&lt;18.06</t>
  </si>
  <si>
    <t>&lt;4.50</t>
  </si>
  <si>
    <t>&lt;153.15</t>
  </si>
  <si>
    <t>Au06d01           01</t>
  </si>
  <si>
    <t>Ni-62</t>
  </si>
  <si>
    <t>Coa?</t>
  </si>
  <si>
    <t>Ni-61</t>
  </si>
  <si>
    <t>D(SM/Tro) Error</t>
  </si>
  <si>
    <t>D (SM/Tro)</t>
  </si>
  <si>
    <t>D/Dp Error</t>
  </si>
  <si>
    <t>D/D(Predicted)</t>
  </si>
  <si>
    <t>FeDomains</t>
  </si>
  <si>
    <t>Xs</t>
  </si>
  <si>
    <t>Beta</t>
  </si>
  <si>
    <t>Do</t>
  </si>
  <si>
    <t>D Error</t>
  </si>
  <si>
    <t>D (SM/LM)</t>
  </si>
  <si>
    <t>Liquid Std. Dev.</t>
  </si>
  <si>
    <t>Liquid Avg.</t>
  </si>
  <si>
    <t>Troilite Std. Dev.</t>
  </si>
  <si>
    <t>Troilite Avg.</t>
  </si>
  <si>
    <t>Solid Std. Dev.</t>
  </si>
  <si>
    <t>Solid Avg.</t>
  </si>
  <si>
    <t>Element</t>
  </si>
  <si>
    <t>Standard</t>
  </si>
  <si>
    <t>Hoba 80um 7Hz 64% 2.64Jcm-2</t>
  </si>
  <si>
    <t>Hoba 80um 7Hz 64% 2.47Jcm-2</t>
  </si>
  <si>
    <t>Coahuila 80um 7Hz 64% 2.58Jcm-2</t>
  </si>
  <si>
    <t>Au06b18           18</t>
  </si>
  <si>
    <t>Coahuila 80um 7Hz 64% 2.64Jcm-2</t>
  </si>
  <si>
    <t>&lt;0.75</t>
  </si>
  <si>
    <t>Au06b17           17</t>
  </si>
  <si>
    <t>CH3-2 (sol) 100um 7Hz 64% 2.71Jcm-2</t>
  </si>
  <si>
    <t>&lt;-61.00</t>
  </si>
  <si>
    <t>&lt;42.60</t>
  </si>
  <si>
    <t>&lt;1.90</t>
  </si>
  <si>
    <t>Au06b16           16</t>
  </si>
  <si>
    <t>CH3-2 (liq) 100um 7Hz 64% 3.17Jcm-2</t>
  </si>
  <si>
    <t>&lt;-1.13</t>
  </si>
  <si>
    <t>Au06b15           15</t>
  </si>
  <si>
    <t>&lt;-0.77</t>
  </si>
  <si>
    <t>&lt;-2.71</t>
  </si>
  <si>
    <t>&lt;1.70</t>
  </si>
  <si>
    <t>Au06b14           14</t>
  </si>
  <si>
    <t>CH3-2 (liq) 100um 7Hz 64% 3.24Jcm-2</t>
  </si>
  <si>
    <t>&lt;-1.31</t>
  </si>
  <si>
    <t>&lt;-2.99</t>
  </si>
  <si>
    <t>&lt;1.86</t>
  </si>
  <si>
    <t>Au06b13           13</t>
  </si>
  <si>
    <t>&lt;0.48</t>
  </si>
  <si>
    <t>&lt;-3.02</t>
  </si>
  <si>
    <t>&lt;2.44</t>
  </si>
  <si>
    <t>Au06b12           12</t>
  </si>
  <si>
    <t>CH3-2 (troil) 80um 7Hz 64% 2.76Jcm-2</t>
  </si>
  <si>
    <t>&lt;-1.07</t>
  </si>
  <si>
    <t>&lt;-3.00</t>
  </si>
  <si>
    <t>Au06b11           11</t>
  </si>
  <si>
    <t>CH3-2 (sol) 80um 7Hz 64% 3.33Jcm-2</t>
  </si>
  <si>
    <t>&lt;-12.70</t>
  </si>
  <si>
    <t>&lt;-34.32</t>
  </si>
  <si>
    <t>&lt;14.70</t>
  </si>
  <si>
    <t>Au06b10           10</t>
  </si>
  <si>
    <t>CH3-2 BM (troil) 80um 7Hz 64% 2.64Jam-2</t>
  </si>
  <si>
    <t>Au06b09           09</t>
  </si>
  <si>
    <t>CH3-2 BM (liq) 100um 7Hz 64% 2.98Jcm-2</t>
  </si>
  <si>
    <t>&lt;57.75</t>
  </si>
  <si>
    <t>Au06c08           08</t>
  </si>
  <si>
    <t>CH3-2 BM (sol) 80um 7Hz 64% 2.76Jam-2</t>
  </si>
  <si>
    <t>&lt;-14.25</t>
  </si>
  <si>
    <t>&lt;-35.51</t>
  </si>
  <si>
    <t>&lt;21.27</t>
  </si>
  <si>
    <t>Au06b08           08</t>
  </si>
  <si>
    <t>CH3-2 BM (liq) 100um 7Hz 64% 3.49Jcm-2</t>
  </si>
  <si>
    <t>&lt;11.39</t>
  </si>
  <si>
    <t>&lt;1.24</t>
  </si>
  <si>
    <t>Au06c07           07</t>
  </si>
  <si>
    <t>CH3-2 BM (troil) 80um 7Hz 64% 2.76Jam-2</t>
  </si>
  <si>
    <t>Au06b07           07</t>
  </si>
  <si>
    <t>CH3-2 BM (liq) 100um 7Hz 64% 2.92Jcm-2</t>
  </si>
  <si>
    <t>&lt;17.08</t>
  </si>
  <si>
    <t>Au06c06           06</t>
  </si>
  <si>
    <t>CH3-2 BM (sol) 80um 7Hz 64% 3.04Jam-2</t>
  </si>
  <si>
    <t>&lt;-21.62</t>
  </si>
  <si>
    <t>&lt;12.02</t>
  </si>
  <si>
    <t>Au06b06           06</t>
  </si>
  <si>
    <t>CH3-2 BM (troil) 80um 7Hz 64% 2.64Jcm-2</t>
  </si>
  <si>
    <t>Au06c05           05</t>
  </si>
  <si>
    <t>CH3-2 BM (liq) 80um 7Hz 64% 2.81Jam-2</t>
  </si>
  <si>
    <t>&lt;-5.88</t>
  </si>
  <si>
    <t>&lt;3.83</t>
  </si>
  <si>
    <t>Au06b05           05</t>
  </si>
  <si>
    <t>Coahuila 80um 7Hz 64% 2.98Jam-2</t>
  </si>
  <si>
    <t>Au06b04           04</t>
  </si>
  <si>
    <t>Coahuila 80um 7Hz 64% 3.21Jam-2</t>
  </si>
  <si>
    <t>Au06b03           03</t>
  </si>
  <si>
    <t>Hoba 80um 7Hz 64% 2.87Jam-2</t>
  </si>
  <si>
    <t>Hoba 80um 7Hz 64% 3.10Jam-2</t>
  </si>
  <si>
    <t>user = N/A; file = Au06b19; run = 022; parameter set = Element Menu Name; last calculated:</t>
  </si>
  <si>
    <t>27.35 wt% S</t>
  </si>
  <si>
    <t>25.03 wt% Ni</t>
  </si>
  <si>
    <t>47.63 wt% Fe</t>
  </si>
  <si>
    <t>20 at% Ni</t>
  </si>
  <si>
    <t>40 at% Fe</t>
  </si>
  <si>
    <t>CH3</t>
  </si>
  <si>
    <t>800 °C</t>
  </si>
  <si>
    <t>CH3-2</t>
  </si>
  <si>
    <t>&lt;23.68</t>
  </si>
  <si>
    <t>&lt;2.36</t>
  </si>
  <si>
    <t>&lt;19.63</t>
  </si>
  <si>
    <t>&lt;5.02</t>
  </si>
  <si>
    <t>&lt;1.27</t>
  </si>
  <si>
    <t>Au06b20           20</t>
  </si>
  <si>
    <t>&lt;41.25</t>
  </si>
  <si>
    <t>&lt;1.38</t>
  </si>
  <si>
    <t>&lt;4.04</t>
  </si>
  <si>
    <t>Au06b19           19</t>
  </si>
  <si>
    <t>&lt;36.08</t>
  </si>
  <si>
    <t>&lt;6.58</t>
  </si>
  <si>
    <t>&lt;2.02</t>
  </si>
  <si>
    <t>&lt;59.69</t>
  </si>
  <si>
    <t>&lt;5.14</t>
  </si>
  <si>
    <t>&lt;2.23</t>
  </si>
  <si>
    <t>&lt;346.94</t>
  </si>
  <si>
    <t>&lt;27.82</t>
  </si>
  <si>
    <t>&lt;-5.68</t>
  </si>
  <si>
    <t>&lt;-4.19</t>
  </si>
  <si>
    <t>&lt;-5.41</t>
  </si>
  <si>
    <t>std-4             12</t>
  </si>
  <si>
    <t>&lt;-5.09</t>
  </si>
  <si>
    <t>&lt;0.64</t>
  </si>
  <si>
    <t>std-3             11</t>
  </si>
  <si>
    <t>&lt;-7.79</t>
  </si>
  <si>
    <t>&lt;-68.59</t>
  </si>
  <si>
    <t>&lt;2.71</t>
  </si>
  <si>
    <t>&lt;9.60</t>
  </si>
  <si>
    <t>&lt;3.63</t>
  </si>
  <si>
    <t>&lt;-4.45</t>
  </si>
  <si>
    <t>&lt;-60.15</t>
  </si>
  <si>
    <t>&lt;60.23</t>
  </si>
  <si>
    <t>&lt;-3.35</t>
  </si>
  <si>
    <t>&lt;13.89</t>
  </si>
  <si>
    <t>&lt;11.88</t>
  </si>
  <si>
    <t>&lt;-3.26</t>
  </si>
  <si>
    <t>&lt;0.85</t>
  </si>
  <si>
    <t>&lt;0.80</t>
  </si>
  <si>
    <t>&lt;3.32</t>
  </si>
  <si>
    <t>&lt;-5.24</t>
  </si>
  <si>
    <t>&lt;-66.74</t>
  </si>
  <si>
    <t>&lt;17.82</t>
  </si>
  <si>
    <t>&lt;-3.87</t>
  </si>
  <si>
    <t>&lt;48.53</t>
  </si>
  <si>
    <t>&lt;7.85</t>
  </si>
  <si>
    <t>&lt;2.57</t>
  </si>
  <si>
    <t>&lt;-3.92</t>
  </si>
  <si>
    <t>&lt;-9.83</t>
  </si>
  <si>
    <t>&lt;2.50</t>
  </si>
  <si>
    <t>&lt;5.08</t>
  </si>
  <si>
    <t>&lt;1.15</t>
  </si>
  <si>
    <t>&lt;12.62</t>
  </si>
  <si>
    <t>&lt;1.06</t>
  </si>
  <si>
    <t>&lt;14.15</t>
  </si>
  <si>
    <t>&lt;0.33</t>
  </si>
  <si>
    <t>&lt;17.51</t>
  </si>
  <si>
    <t>&lt;2.04</t>
  </si>
  <si>
    <t>&lt;16.38</t>
  </si>
  <si>
    <t>&lt;0.37</t>
  </si>
  <si>
    <t>&lt;5.30</t>
  </si>
  <si>
    <t>&lt;1.67</t>
  </si>
  <si>
    <t>Au06b02           02</t>
  </si>
  <si>
    <t>&lt;26.71</t>
  </si>
  <si>
    <t>&lt;1.00</t>
  </si>
  <si>
    <t>&lt;13.31</t>
  </si>
  <si>
    <t>Au06b01           01</t>
  </si>
  <si>
    <t>Coahuila 80um 7Hz 67% 2.41Jcm-2</t>
  </si>
  <si>
    <t>Au06e17           17</t>
  </si>
  <si>
    <t>&lt;1.12</t>
  </si>
  <si>
    <t>&lt;1.82</t>
  </si>
  <si>
    <t>Au06e16           16</t>
  </si>
  <si>
    <t>Hoba 80um 7Hz 67% -Jcm-2</t>
  </si>
  <si>
    <t>Hoba 80um 7Hz 67% 2.53Jcm-2</t>
  </si>
  <si>
    <t>&lt;1.20</t>
  </si>
  <si>
    <t>S36-2 (top left) troilite 80um 7Hz 67% 2.41Jcm-2</t>
  </si>
  <si>
    <t>&lt;-17.78</t>
  </si>
  <si>
    <t>Au06e13           13</t>
  </si>
  <si>
    <t>S36-2 (top left) solid 40um 7Hz 67% 2.58Jcm-2</t>
  </si>
  <si>
    <t>&lt;5.51</t>
  </si>
  <si>
    <t>&lt;54.90</t>
  </si>
  <si>
    <t>Au06e12           12</t>
  </si>
  <si>
    <t>S36-2 (top left) solid 40um 7Hz 67% 2.69Jcm-2</t>
  </si>
  <si>
    <t>&lt;11.04</t>
  </si>
  <si>
    <t>&lt;60.00</t>
  </si>
  <si>
    <t>&lt;2.69</t>
  </si>
  <si>
    <t>Au06e11           11</t>
  </si>
  <si>
    <t>S36-2 (top left) troilite 80um 7Hz 67% 2.53Jcm-2</t>
  </si>
  <si>
    <t>&lt;-16.48</t>
  </si>
  <si>
    <t>Au06e10           10</t>
  </si>
  <si>
    <t>S36-2 (top left) troilite 80um 7Hz 67% 2.81Jcm-2</t>
  </si>
  <si>
    <t>&lt;-14.90</t>
  </si>
  <si>
    <t>Au06e09           09</t>
  </si>
  <si>
    <t>S36-2 (top left) Solid 55um 7Hz 67% 2.46Jcm-2</t>
  </si>
  <si>
    <t>&lt;26.80</t>
  </si>
  <si>
    <t>&lt;47.42</t>
  </si>
  <si>
    <t>&lt;2.48</t>
  </si>
  <si>
    <t>Au06e08           08</t>
  </si>
  <si>
    <t>S36-2 (top left) liquid 100um 7Hz 67% 2.60Jcm-2</t>
  </si>
  <si>
    <t>&lt;-9.42</t>
  </si>
  <si>
    <t>Au06e07           07</t>
  </si>
  <si>
    <t>S36-2 (top left) liquid 100um 7Hz 67% 2.73Jcm-2</t>
  </si>
  <si>
    <t>&lt;-14.12</t>
  </si>
  <si>
    <t>Au06e06           06</t>
  </si>
  <si>
    <t>S36-2 (top left) liquid 100um 7Hz 67% 2.98Jcm-2</t>
  </si>
  <si>
    <t>&lt;-10.25</t>
  </si>
  <si>
    <t>&lt;1.62</t>
  </si>
  <si>
    <t>Au06e05           05</t>
  </si>
  <si>
    <t>&lt;0.00</t>
  </si>
  <si>
    <t>&lt;1.73</t>
  </si>
  <si>
    <t>&lt;1.95</t>
  </si>
  <si>
    <t>&lt;1.37</t>
  </si>
  <si>
    <t>Au06e02           02</t>
  </si>
  <si>
    <t>&lt;1.31</t>
  </si>
  <si>
    <t>Au06e01           01</t>
  </si>
  <si>
    <t>user = N/A; file = Au06e19; run = 025; parameter set = Element Menu Name; last calculated:</t>
  </si>
  <si>
    <t>24.12 wt% S</t>
  </si>
  <si>
    <t>24.53 wt% Ni</t>
  </si>
  <si>
    <t>51.35 wt% Fe</t>
  </si>
  <si>
    <t>36 at% S</t>
  </si>
  <si>
    <t>S36</t>
  </si>
  <si>
    <t>S36-2</t>
  </si>
  <si>
    <t>reference1         Hoba</t>
  </si>
  <si>
    <t>&lt;2.82</t>
  </si>
  <si>
    <t>&lt;9.97</t>
  </si>
  <si>
    <t>&lt;3.28</t>
  </si>
  <si>
    <t>&lt;1.42</t>
  </si>
  <si>
    <t>&lt;25.08</t>
  </si>
  <si>
    <t>&lt;10.89</t>
  </si>
  <si>
    <t>&lt;3.17</t>
  </si>
  <si>
    <t>&lt;1.69</t>
  </si>
  <si>
    <t>Au06e15           15</t>
  </si>
  <si>
    <t>&lt;10.65</t>
  </si>
  <si>
    <t>&lt;20.51</t>
  </si>
  <si>
    <t>&lt;10.12</t>
  </si>
  <si>
    <t>&lt;0.81</t>
  </si>
  <si>
    <t>&lt;3.06</t>
  </si>
  <si>
    <t>Au06e14           14</t>
  </si>
  <si>
    <t>&lt;3.69</t>
  </si>
  <si>
    <t>&lt;-6.49</t>
  </si>
  <si>
    <t>&lt;48.83</t>
  </si>
  <si>
    <t>&lt;13.61</t>
  </si>
  <si>
    <t>&lt;31.22</t>
  </si>
  <si>
    <t>&lt;97.90</t>
  </si>
  <si>
    <t>&lt;24.43</t>
  </si>
  <si>
    <t>&lt;34.12</t>
  </si>
  <si>
    <t>&lt;-6.01</t>
  </si>
  <si>
    <t>&lt;5.25</t>
  </si>
  <si>
    <t>&lt;-5.44</t>
  </si>
  <si>
    <t>&lt;237.74</t>
  </si>
  <si>
    <t>&lt;26.96</t>
  </si>
  <si>
    <t>&lt;-3.44</t>
  </si>
  <si>
    <t>&lt;1.07</t>
  </si>
  <si>
    <t>&lt;-5.15</t>
  </si>
  <si>
    <t>&lt;-3.74</t>
  </si>
  <si>
    <t>&lt;1.50</t>
  </si>
  <si>
    <t>&lt;20.14</t>
  </si>
  <si>
    <t>&lt;1.34</t>
  </si>
  <si>
    <t>Au06e04           04</t>
  </si>
  <si>
    <t>&lt;13.55</t>
  </si>
  <si>
    <t>&lt;14.10</t>
  </si>
  <si>
    <t>&lt;10.72</t>
  </si>
  <si>
    <t>&lt;3.82</t>
  </si>
  <si>
    <t>Au06e03           03</t>
  </si>
  <si>
    <t>&lt;5.66</t>
  </si>
  <si>
    <t>&lt;2.92</t>
  </si>
  <si>
    <t>&lt;2.08</t>
  </si>
  <si>
    <t>&lt;1.02</t>
  </si>
  <si>
    <t>NIST610 80u 7Hz 65% 2.98Jcm-2</t>
  </si>
  <si>
    <t>NIST610 80u 7Hz 65% 3.10Jcm-2</t>
  </si>
  <si>
    <t>Coahuila 80u 7Hz 65% 2.93Jcm-2</t>
  </si>
  <si>
    <t>&lt;1.45</t>
  </si>
  <si>
    <t>&lt;10.81</t>
  </si>
  <si>
    <t>&lt;5.38</t>
  </si>
  <si>
    <t>Oc16a18           18</t>
  </si>
  <si>
    <t>Coahuila 80u 7Hz 65%</t>
  </si>
  <si>
    <t>&lt;1.21</t>
  </si>
  <si>
    <t>&lt;1.54</t>
  </si>
  <si>
    <t>&lt;21.70</t>
  </si>
  <si>
    <t>&lt;6.16</t>
  </si>
  <si>
    <t>Oc16a17           17</t>
  </si>
  <si>
    <t>S32-1 (top left) liquid metal 80u 7Hz 65% 2.98Jcm-2</t>
  </si>
  <si>
    <t>&lt;3.72</t>
  </si>
  <si>
    <t>Oc16b07           07</t>
  </si>
  <si>
    <t>S32-1 (top left) liquid metal 80u 7Hz 65% 2.87Jcm-2</t>
  </si>
  <si>
    <t>Oc16b06           06</t>
  </si>
  <si>
    <t>S32-1 (top left) liquid metal 80u 7Hz 65% 2.93Jcm-2</t>
  </si>
  <si>
    <t>Oc16b05           05</t>
  </si>
  <si>
    <t>S32-1 (top left) 80u 7Hz 65% 3.16Jcm-2 liquid metal</t>
  </si>
  <si>
    <t>&lt;6.39</t>
  </si>
  <si>
    <t>Oc16a16           16</t>
  </si>
  <si>
    <t>S32-1 (top left) 80u 7Hz 65% 3.33Jcm-2 liquid metal</t>
  </si>
  <si>
    <t>&lt;14.84</t>
  </si>
  <si>
    <t>&lt;7.78</t>
  </si>
  <si>
    <t>Oc16a15           15</t>
  </si>
  <si>
    <t>S32-1 (top left) 55u 7Hz 65% 2.96Jcm-2 troilite</t>
  </si>
  <si>
    <t>&lt;6.22</t>
  </si>
  <si>
    <t>Oc16a14           14</t>
  </si>
  <si>
    <t>S32-1 (top left) 80u 7Hz 65% 3.10Jcm-2 troilite</t>
  </si>
  <si>
    <t>Oc16a13           13</t>
  </si>
  <si>
    <t>S32-1 (top left) 80u 7Hz 65% 3.04Jcm-2 troilite</t>
  </si>
  <si>
    <t>Oc16a12           12</t>
  </si>
  <si>
    <t>S32-1 (top left) 80u 7Hz 65% 3.33Jcm-2 troilite</t>
  </si>
  <si>
    <t>Oc16a11           11</t>
  </si>
  <si>
    <t>Oc16a10           10</t>
  </si>
  <si>
    <t>S32-1 (top left) 80u 7Hz 63% 3.04Jcm-2 solid metal</t>
  </si>
  <si>
    <t>&lt;5.55</t>
  </si>
  <si>
    <t>Oc16a09           09</t>
  </si>
  <si>
    <t>S32-1 (top left) 80u 7Hz 63% 2.87Jcm-2 solid metal</t>
  </si>
  <si>
    <t>&lt;2.59</t>
  </si>
  <si>
    <t>&lt;4.15</t>
  </si>
  <si>
    <t>Oc16a08           08</t>
  </si>
  <si>
    <t>S32-1 (top left) 80u 7Hz 63% 3.16Jcm-2 solid metal</t>
  </si>
  <si>
    <t>&lt;3.37</t>
  </si>
  <si>
    <t>&lt;3.99</t>
  </si>
  <si>
    <t>Oc16a07           07</t>
  </si>
  <si>
    <t>S32-1 (top left) 80u 7Hz 63% 3.27Jcm-2 solid metal</t>
  </si>
  <si>
    <t>&lt;4.69</t>
  </si>
  <si>
    <t>Oc16a06           06</t>
  </si>
  <si>
    <t>S32-1 (top left) 80u 7Hz 63% 3.10Jcm-2 solid metal</t>
  </si>
  <si>
    <t>&lt;3.94</t>
  </si>
  <si>
    <t>&lt;6.32</t>
  </si>
  <si>
    <t>Oc16a05           05</t>
  </si>
  <si>
    <t>Coahuila 80u 7Hz 63% 3.67Jcm-2</t>
  </si>
  <si>
    <t>&lt;4.57</t>
  </si>
  <si>
    <t>&lt;3.59</t>
  </si>
  <si>
    <t>&lt;6.35</t>
  </si>
  <si>
    <t>Oc16a04           04</t>
  </si>
  <si>
    <t>Coahuila 80u 7Hz 63% 3.56Jcm-2</t>
  </si>
  <si>
    <t>&lt;15.81</t>
  </si>
  <si>
    <t>&lt;5.07</t>
  </si>
  <si>
    <t>&lt;8.36</t>
  </si>
  <si>
    <t>Oc16a03           03</t>
  </si>
  <si>
    <t>NIST610 80u 7Hz 63% 3.56Jcm-2</t>
  </si>
  <si>
    <t>NIST610 80u 7Hz 63% 3.16Jcm-2</t>
  </si>
  <si>
    <t>user = N/A; file = Oc16a19; run = 021; parameter set = Element Menu Name; last calculated:</t>
  </si>
  <si>
    <t>21.02 wt% S</t>
  </si>
  <si>
    <t>24.05 wt% Ni</t>
  </si>
  <si>
    <t>54.92 wt% Fe</t>
  </si>
  <si>
    <t>32 at% S</t>
  </si>
  <si>
    <t>48 at% Fe</t>
  </si>
  <si>
    <t>S32</t>
  </si>
  <si>
    <t>850 C</t>
  </si>
  <si>
    <t>6 days</t>
  </si>
  <si>
    <t>S32-1</t>
  </si>
  <si>
    <t>&lt;676.09</t>
  </si>
  <si>
    <t>&lt;1662.83</t>
  </si>
  <si>
    <t>Oc16a20           20</t>
  </si>
  <si>
    <t>&lt;718.22</t>
  </si>
  <si>
    <t>&lt;1861.01</t>
  </si>
  <si>
    <t>Oc16a19           19</t>
  </si>
  <si>
    <t>&lt;4.98</t>
  </si>
  <si>
    <t>&lt;12.84</t>
  </si>
  <si>
    <t>Pd-108</t>
  </si>
  <si>
    <t>Mo-97</t>
  </si>
  <si>
    <t>Ga-71</t>
  </si>
  <si>
    <t>&lt;511.21</t>
  </si>
  <si>
    <t>&lt;1352.87</t>
  </si>
  <si>
    <t>Oc16a02           02</t>
  </si>
  <si>
    <t>&lt;519.09</t>
  </si>
  <si>
    <t>&lt;1463.29</t>
  </si>
  <si>
    <t>Oc16a01           01</t>
  </si>
  <si>
    <t>NIST??</t>
  </si>
  <si>
    <t>D (Predicted)</t>
  </si>
  <si>
    <t>reference1         Coahulia</t>
  </si>
  <si>
    <t>NIST610 80u 7Hz 66% 3.21Jcm-2</t>
  </si>
  <si>
    <t>NIST610 80u 7Hz 66% 3.27Jcm-2</t>
  </si>
  <si>
    <t>Coahuila 80u 7Hz 66% 2.87Jcm-2</t>
  </si>
  <si>
    <t>&lt;7.10</t>
  </si>
  <si>
    <t>&lt;3.75</t>
  </si>
  <si>
    <t>Oc16c12           12</t>
  </si>
  <si>
    <t>Coahuila 80u 7Hz 66% 3.10Jcm-2</t>
  </si>
  <si>
    <t>&lt;0.84</t>
  </si>
  <si>
    <t>&lt;13.64</t>
  </si>
  <si>
    <t>&lt;5.18</t>
  </si>
  <si>
    <t>&lt;3.49</t>
  </si>
  <si>
    <t>Oc16c11           11</t>
  </si>
  <si>
    <t>S32-2 (top right) liquid metal 80u 7Hz 66% 3.33Jcm-2</t>
  </si>
  <si>
    <t>&lt;9.14</t>
  </si>
  <si>
    <t>Oc16c10           10</t>
  </si>
  <si>
    <t>S32-2 (top right) liquid metal 80u 7Hz 66% 3.10Jcm-2</t>
  </si>
  <si>
    <t>&lt;7.30</t>
  </si>
  <si>
    <t>Oc16c09           09</t>
  </si>
  <si>
    <t>S32-2 (top right) liquid metal 80u 7Hz 66% 3.04Jcm-2</t>
  </si>
  <si>
    <t>&lt;8.05</t>
  </si>
  <si>
    <t>&lt;2.27</t>
  </si>
  <si>
    <t>Oc16c08           08</t>
  </si>
  <si>
    <t>S32-2 (top right) liquid metal 80u 7Hz 66% 3.21Jcm-2</t>
  </si>
  <si>
    <t>&lt;12.58</t>
  </si>
  <si>
    <t>Oc16c07           07</t>
  </si>
  <si>
    <t>S32-2 (top right) liquid metal 80u 7Hz 66% 2.90Jcm-2</t>
  </si>
  <si>
    <t>&lt;6.47</t>
  </si>
  <si>
    <t>&lt;1.91</t>
  </si>
  <si>
    <t>Oc16c06           06</t>
  </si>
  <si>
    <t>S32-2 (top right) troilite 80u 7Hz 65% 2.47Jcm-2</t>
  </si>
  <si>
    <t>Oc16c05           05</t>
  </si>
  <si>
    <t>S32-1 (top right) troilite 80u 7Hz 65% 2.76Jcm-2</t>
  </si>
  <si>
    <t>&lt;3.73</t>
  </si>
  <si>
    <t>Oc16b16           16</t>
  </si>
  <si>
    <t>S32-1 (top right) troilite 80u 7Hz 65% 2.64Jcm-2</t>
  </si>
  <si>
    <t>&lt;4.18</t>
  </si>
  <si>
    <t>Oc16b15           15</t>
  </si>
  <si>
    <t>S32-1 (top right) troilite 80u 7Hz 65% 2.47Jcm-2</t>
  </si>
  <si>
    <t>&lt;3.79</t>
  </si>
  <si>
    <t>Oc16b14           14</t>
  </si>
  <si>
    <t>&lt;4.03</t>
  </si>
  <si>
    <t>Oc16b13           13</t>
  </si>
  <si>
    <t>S32-1 (top right) solid metal 80u 7Hz 65% 2.76Jcm-2</t>
  </si>
  <si>
    <t>&lt;7.28</t>
  </si>
  <si>
    <t>&lt;8.86</t>
  </si>
  <si>
    <t>Oc16b12           12</t>
  </si>
  <si>
    <t>S32-1 (top right) solid metal 80u 7Hz 65% 2.87Jcm-2</t>
  </si>
  <si>
    <t>&lt;5.89</t>
  </si>
  <si>
    <t>Oc16b11           11</t>
  </si>
  <si>
    <t>S32-1 (top right) solid metal 80u 7Hz 65% 2.64Jcm-2</t>
  </si>
  <si>
    <t>&lt;7.57</t>
  </si>
  <si>
    <t>&lt;7.95</t>
  </si>
  <si>
    <t>Oc16b10           10</t>
  </si>
  <si>
    <t>S32-1 (top right) solid metal 80u 7Hz 65% 3.21Jcm-2</t>
  </si>
  <si>
    <t>&lt;8.71</t>
  </si>
  <si>
    <t>&lt;0.61</t>
  </si>
  <si>
    <t>Oc16b09           09</t>
  </si>
  <si>
    <t>S32-1 (top right) solid metal 80u 7Hz 65% 3.10Jcm-2</t>
  </si>
  <si>
    <t>&lt;7.54</t>
  </si>
  <si>
    <t>&lt;9.16</t>
  </si>
  <si>
    <t>Oc16b08           08</t>
  </si>
  <si>
    <t>&lt;1087.91</t>
  </si>
  <si>
    <t>&lt;1096.62</t>
  </si>
  <si>
    <t>&lt;9.82</t>
  </si>
  <si>
    <t>&lt;3.88</t>
  </si>
  <si>
    <t>&lt;5.69</t>
  </si>
  <si>
    <t>Oc16b02           02</t>
  </si>
  <si>
    <t>&lt;19.77</t>
  </si>
  <si>
    <t>&lt;5.56</t>
  </si>
  <si>
    <t>&lt;6.67</t>
  </si>
  <si>
    <t>Oc16b01           01</t>
  </si>
  <si>
    <t>user = N/A; file = Oc16b19; run = 021; parameter set = Element Menu Name; last calculated:</t>
  </si>
  <si>
    <t>8 days</t>
  </si>
  <si>
    <t>S32-2</t>
  </si>
  <si>
    <t>&lt;733.63</t>
  </si>
  <si>
    <t>&lt;2561.61</t>
  </si>
  <si>
    <t>Oc16c14           14</t>
  </si>
  <si>
    <t>&lt;722.21</t>
  </si>
  <si>
    <t>&lt;2366.83</t>
  </si>
  <si>
    <t>Oc16c13           13</t>
  </si>
  <si>
    <t>&lt;7.23</t>
  </si>
  <si>
    <t>&lt;5.78</t>
  </si>
  <si>
    <t>&lt;9.95</t>
  </si>
  <si>
    <t>&lt;5.12</t>
  </si>
  <si>
    <t>&lt;3.26</t>
  </si>
  <si>
    <t>&lt;3.46</t>
  </si>
  <si>
    <t>Mislabelled as S32-1. These runs do indeed sample from S32-2, but the label is wrong from the mass spec. data</t>
  </si>
  <si>
    <t>&lt;698.00</t>
  </si>
  <si>
    <t>&lt;1809.93</t>
  </si>
  <si>
    <t>Oc16b04           04</t>
  </si>
  <si>
    <t>&lt;703.59</t>
  </si>
  <si>
    <t>&lt;1895.84</t>
  </si>
  <si>
    <t>Oc16b03           03</t>
  </si>
  <si>
    <t>D(Predicted)</t>
  </si>
  <si>
    <t>Coahuila 80u 7Hz 66% 3.16Jcm-2</t>
  </si>
  <si>
    <t>&lt;13.05</t>
  </si>
  <si>
    <t>&lt;3.77</t>
  </si>
  <si>
    <t>&lt;4.39</t>
  </si>
  <si>
    <t>Oc16e20           20</t>
  </si>
  <si>
    <t>Coahuila 80u 7Hz 66% 2.93Jcm-2</t>
  </si>
  <si>
    <t>&lt;0.96</t>
  </si>
  <si>
    <t>&lt;18.38</t>
  </si>
  <si>
    <t>&lt;2.06</t>
  </si>
  <si>
    <t>Oc16e19           19</t>
  </si>
  <si>
    <t>NIST610 80u 7Hz 66% 3.10Jcm-2</t>
  </si>
  <si>
    <t>&lt;1759.86</t>
  </si>
  <si>
    <t>&lt;6771.94</t>
  </si>
  <si>
    <t>NIST610 80u 7Hz 66% 2.87Jcm-2</t>
  </si>
  <si>
    <t>&lt;1826.52</t>
  </si>
  <si>
    <t>&lt;7412.01</t>
  </si>
  <si>
    <t>S32-4 (top right) liquid metal 80u 7Hz 66% 2.76Jcm-2</t>
  </si>
  <si>
    <t>&lt;9.35</t>
  </si>
  <si>
    <t>Oc16e07           07</t>
  </si>
  <si>
    <t>S32-4 (top right) liquid metal 80u 7Hz 66% 2.81Jcm-2</t>
  </si>
  <si>
    <t>&lt;8.95</t>
  </si>
  <si>
    <t>&lt;2.61</t>
  </si>
  <si>
    <t>Oc16e06           06</t>
  </si>
  <si>
    <t>S32-4 (top right) liquid metal 80u 7Hz 66% 3.10Jcm-2</t>
  </si>
  <si>
    <t>Oc16e05           05</t>
  </si>
  <si>
    <t>S32-4 (top right) liquid metal 80u 7Hz 66% 3.16Jcm-2</t>
  </si>
  <si>
    <t>&lt;9.48</t>
  </si>
  <si>
    <t>&lt;2.25</t>
  </si>
  <si>
    <t>Oc16d16           16</t>
  </si>
  <si>
    <t>S32-4 (top right) liquid metal 80u 7Hz 66% 2.87Jcm-2</t>
  </si>
  <si>
    <t>Oc16d15           15</t>
  </si>
  <si>
    <t>S32-4 (top right) troilite 55u 7Hz 66% 3.57Jcm-2</t>
  </si>
  <si>
    <t>&lt;1.04</t>
  </si>
  <si>
    <t>Oc16d14           14</t>
  </si>
  <si>
    <t>S32-4 (top right) troilite 55u 7Hz 66% 3.94Jcm-2</t>
  </si>
  <si>
    <t>&lt;5.91</t>
  </si>
  <si>
    <t>Oc16d13           13</t>
  </si>
  <si>
    <t>S32-4 (top right) troilite 80u 7Hz 66% 3.67Jcm-2</t>
  </si>
  <si>
    <t>Oc16d12           12</t>
  </si>
  <si>
    <t>S32-4 (top right) troilite 80u 7Hz 66% 3.33Jcm-2</t>
  </si>
  <si>
    <t>Oc16d11           11</t>
  </si>
  <si>
    <t>S32-4 (top right) troilite 80u 7Hz 66% 3.44Jcm-2</t>
  </si>
  <si>
    <t>Oc16d10           10</t>
  </si>
  <si>
    <t>S32-4 (top right) solid metal 80u 7Hz 66% 3.67Jcm-2</t>
  </si>
  <si>
    <t>&lt;6.08</t>
  </si>
  <si>
    <t>&lt;8.76</t>
  </si>
  <si>
    <t>Oc16d09           09</t>
  </si>
  <si>
    <t>S32-4 (top right) solid metal 80u 7Hz 66% 3.56Jcm-2</t>
  </si>
  <si>
    <t>&lt;5.29</t>
  </si>
  <si>
    <t>&lt;4.26</t>
  </si>
  <si>
    <t>Oc16d08           08</t>
  </si>
  <si>
    <t>S32-4 (top right) solid metal 80u 7Hz 66% 3.73Jcm-2</t>
  </si>
  <si>
    <t>&lt;6.26</t>
  </si>
  <si>
    <t>&lt;9.28</t>
  </si>
  <si>
    <t>Oc16d07           07</t>
  </si>
  <si>
    <t>S32-4 (top right) solid metal 80u 7Hz 66% 3.33Jcm-2</t>
  </si>
  <si>
    <t>&lt;0.91</t>
  </si>
  <si>
    <t>&lt;7.25</t>
  </si>
  <si>
    <t>&lt;11.48</t>
  </si>
  <si>
    <t>Oc16d06           06</t>
  </si>
  <si>
    <t>S32-4 (top right) solid metal 80u 7Hz 66% 3.79Jcm-2</t>
  </si>
  <si>
    <t>&lt;6.41</t>
  </si>
  <si>
    <t>&lt;8.62</t>
  </si>
  <si>
    <t>Oc16d05           05</t>
  </si>
  <si>
    <t>Coahuila 80u 7Hz 65% 2.81Jcm-2</t>
  </si>
  <si>
    <t>&lt;18.27</t>
  </si>
  <si>
    <t>&lt;3.67</t>
  </si>
  <si>
    <t>&lt;4.82</t>
  </si>
  <si>
    <t>Oc16c04           04</t>
  </si>
  <si>
    <t>Coahuila 80u 7Hz 65% 2.64Jcm-2</t>
  </si>
  <si>
    <t>&lt;10.48</t>
  </si>
  <si>
    <t>&lt;7.46</t>
  </si>
  <si>
    <t>&lt;8.67</t>
  </si>
  <si>
    <t>Oc16c03           03</t>
  </si>
  <si>
    <t>NIST610 80u 7Hz 65% 2.76Jcm-2</t>
  </si>
  <si>
    <t>NIST610 80u 7Hz 65% 2.47Jcm-2</t>
  </si>
  <si>
    <t>user = N/A; file = Oc16c19; run = 021; parameter set = Element Menu Name; last calculated:</t>
  </si>
  <si>
    <t>4 days</t>
  </si>
  <si>
    <t>S32-4</t>
  </si>
  <si>
    <t>&lt;8.28</t>
  </si>
  <si>
    <t>&lt;1.32</t>
  </si>
  <si>
    <t>&lt;7.93</t>
  </si>
  <si>
    <t>&lt;3.40</t>
  </si>
  <si>
    <t>&lt;8.26</t>
  </si>
  <si>
    <t>&lt;-24.98</t>
  </si>
  <si>
    <t>&lt;-7.17</t>
  </si>
  <si>
    <t>&lt;4.55</t>
  </si>
  <si>
    <t>&lt;-21.16</t>
  </si>
  <si>
    <t>&lt;-4.21</t>
  </si>
  <si>
    <t>&lt;-23.00</t>
  </si>
  <si>
    <t>&lt;-2.39</t>
  </si>
  <si>
    <t>&lt;-18.82</t>
  </si>
  <si>
    <t>&lt;-2.34</t>
  </si>
  <si>
    <t>&lt;-16.81</t>
  </si>
  <si>
    <t>&lt;-3.61</t>
  </si>
  <si>
    <t>&lt;3.15</t>
  </si>
  <si>
    <t>&lt;-13.20</t>
  </si>
  <si>
    <t>&lt;-2.01</t>
  </si>
  <si>
    <t>&lt;-16.03</t>
  </si>
  <si>
    <t>&lt;-15.53</t>
  </si>
  <si>
    <t>&lt;4.45</t>
  </si>
  <si>
    <t>&lt;174.73</t>
  </si>
  <si>
    <t>&lt;2.16</t>
  </si>
  <si>
    <t>&lt;170.42</t>
  </si>
  <si>
    <t>&lt;-10.16</t>
  </si>
  <si>
    <t>&lt;4.71</t>
  </si>
  <si>
    <t>&lt;165.77</t>
  </si>
  <si>
    <t>&lt;-35.08</t>
  </si>
  <si>
    <t>&lt;5.82</t>
  </si>
  <si>
    <t>&lt;132.53</t>
  </si>
  <si>
    <t>&lt;4.37</t>
  </si>
  <si>
    <t>&lt;124.68</t>
  </si>
  <si>
    <t>Coahuila 80u 7Hz 66% 3.79Jcm-2</t>
  </si>
  <si>
    <t>&lt;92.46</t>
  </si>
  <si>
    <t>&lt;4.83</t>
  </si>
  <si>
    <t>&lt;2.73</t>
  </si>
  <si>
    <t>&lt;1.72</t>
  </si>
  <si>
    <t>&lt;96.08</t>
  </si>
  <si>
    <t>NIST610 80u 7Hz 66% 3.04Jcm-2</t>
  </si>
  <si>
    <t>&lt;653.99</t>
  </si>
  <si>
    <t>&lt;1955.04</t>
  </si>
  <si>
    <t>&lt;-25.96</t>
  </si>
  <si>
    <t>Oc16d02           02</t>
  </si>
  <si>
    <t>NIST610 80u 7Hz 66% 2.76Jcm-2</t>
  </si>
  <si>
    <t>&lt;647.18</t>
  </si>
  <si>
    <t>&lt;1673.14</t>
  </si>
  <si>
    <t>&lt;-28.16</t>
  </si>
  <si>
    <t>Oc16d01           01</t>
  </si>
  <si>
    <t>user = N/A; file = Oc16d19; run = 021; parameter set = Element Menu Name; last calculated:</t>
  </si>
  <si>
    <t>S32-5 (top) liquid metal 80u 7Hz 66% 3.16Jcm-2</t>
  </si>
  <si>
    <t>&lt;11.33</t>
  </si>
  <si>
    <t>Oc16f10           10</t>
  </si>
  <si>
    <t>S32-5 (top) liquid metal 80u 7Hz 66% 2.93Jcm-2</t>
  </si>
  <si>
    <t>&lt;10.24</t>
  </si>
  <si>
    <t>Oc16f09           09</t>
  </si>
  <si>
    <t>S32-5 (top) liquid metal 80u 7Hz 66% 3.21Jcm-2</t>
  </si>
  <si>
    <t>&lt;11.21</t>
  </si>
  <si>
    <t>&lt;3.50</t>
  </si>
  <si>
    <t>Oc16f08           08</t>
  </si>
  <si>
    <t>S32-5 (top) liquid metal 80u 7Hz 66% 3.10Jcm-2</t>
  </si>
  <si>
    <t>&lt;10.79</t>
  </si>
  <si>
    <t>Oc16f07           07</t>
  </si>
  <si>
    <t>S32-5 (top) liquid metal 80u 7Hz 66% 3.04Jcm-2</t>
  </si>
  <si>
    <t>&lt;5.24</t>
  </si>
  <si>
    <t>&lt;1.97</t>
  </si>
  <si>
    <t>Oc16f06           06</t>
  </si>
  <si>
    <t>S32-5 (top) troilite 80u 7Hz 66% 3.14Jcm-2</t>
  </si>
  <si>
    <t>&lt;8.94</t>
  </si>
  <si>
    <t>Oc16f05           05</t>
  </si>
  <si>
    <t>S32-5 (top) troilite 80u 7Hz 66% 3.08Jcm-2</t>
  </si>
  <si>
    <t>&lt;8.32</t>
  </si>
  <si>
    <t>Oc16e16           16</t>
  </si>
  <si>
    <t>S32-5 (top) troilite 80u 7Hz 66% 2.96Jcm-2</t>
  </si>
  <si>
    <t>&lt;11.50</t>
  </si>
  <si>
    <t>Oc16e15           15</t>
  </si>
  <si>
    <t>S32-5 (top) troilite 80u 7Hz 66% 2.81Jcm-2</t>
  </si>
  <si>
    <t>Oc16e14           14</t>
  </si>
  <si>
    <t>S32-5 (top) troilite 80u 7Hz 66% 3.10Jcm-2</t>
  </si>
  <si>
    <t>&lt;5.77</t>
  </si>
  <si>
    <t>Oc16e13           13</t>
  </si>
  <si>
    <t>S32-5 (top) solid metal 80u 7Hz 66% 2.91Jcm-2</t>
  </si>
  <si>
    <t>Oc16e12           12</t>
  </si>
  <si>
    <t>S32-5 (top) solid metal 80u 7Hz 66% 3.44Jcm-2</t>
  </si>
  <si>
    <t>&lt;4.47</t>
  </si>
  <si>
    <t>&lt;9.44</t>
  </si>
  <si>
    <t>Oc16e11           11</t>
  </si>
  <si>
    <t>S32-5 (top) solid metal 80u 7Hz 66% 3.04Jcm-2</t>
  </si>
  <si>
    <t>&lt;5.68</t>
  </si>
  <si>
    <t>&lt;7.69</t>
  </si>
  <si>
    <t>Oc16e10           10</t>
  </si>
  <si>
    <t>S32-5 (top) solid metal 80u 7Hz 66% 3.27Jcm-2</t>
  </si>
  <si>
    <t>&lt;5.75</t>
  </si>
  <si>
    <t>&lt;7.51</t>
  </si>
  <si>
    <t>Oc16e09           09</t>
  </si>
  <si>
    <t>S32-5 (top) solid metal 80u 7Hz 66% 2.47Jcm-2</t>
  </si>
  <si>
    <t>&lt;5.74</t>
  </si>
  <si>
    <t>&lt;9.52</t>
  </si>
  <si>
    <t>Oc16e08           08</t>
  </si>
  <si>
    <t>NIST610 80u 7Hz 66% 3.50Jcm-2</t>
  </si>
  <si>
    <t>&lt;1492.08</t>
  </si>
  <si>
    <t>&lt;5498.48</t>
  </si>
  <si>
    <t>&lt;1483.30</t>
  </si>
  <si>
    <t>&lt;6024.00</t>
  </si>
  <si>
    <t>&lt;7.96</t>
  </si>
  <si>
    <t>&lt;2.07</t>
  </si>
  <si>
    <t>&lt;4.65</t>
  </si>
  <si>
    <t>Oc16e02           02</t>
  </si>
  <si>
    <t>Coahuila 80u 7Hz 66% 3.39Jcm-2</t>
  </si>
  <si>
    <t>&lt;5.63</t>
  </si>
  <si>
    <t>Oc16e01           01</t>
  </si>
  <si>
    <t>user = N/A; file = Oc16e19; run = 021; parameter set = Element Menu Name; last calculated:</t>
  </si>
  <si>
    <t>1 day</t>
  </si>
  <si>
    <t>S32-5</t>
  </si>
  <si>
    <t>&lt;9.74</t>
  </si>
  <si>
    <t>&lt;9.37</t>
  </si>
  <si>
    <t>&lt;7.77</t>
  </si>
  <si>
    <t>&lt;7.37</t>
  </si>
  <si>
    <t>&lt;10.20</t>
  </si>
  <si>
    <t>&lt;2.81</t>
  </si>
  <si>
    <t>&lt;4.68</t>
  </si>
  <si>
    <t>&lt;3.81</t>
  </si>
  <si>
    <t>&lt;4.72</t>
  </si>
  <si>
    <t>&lt;853.22</t>
  </si>
  <si>
    <t>&lt;2436.32</t>
  </si>
  <si>
    <t>Oc16e04           04</t>
  </si>
  <si>
    <t>&lt;848.20</t>
  </si>
  <si>
    <t>&lt;2669.17</t>
  </si>
  <si>
    <t>Oc16e03           03</t>
  </si>
  <si>
    <t>My04b05           05</t>
  </si>
  <si>
    <t>&lt;4.86</t>
  </si>
  <si>
    <t>N8-3 metal 80um 5Hz 62% 3.10Jcm-2</t>
  </si>
  <si>
    <t>My04b06           06</t>
  </si>
  <si>
    <t>&lt;4.88</t>
  </si>
  <si>
    <t>N8-3 metal 80um 5Hz 62% 2.70Jcm-2</t>
  </si>
  <si>
    <t>My04b07           07</t>
  </si>
  <si>
    <t>&lt;5.73</t>
  </si>
  <si>
    <t>N8-3 liquid 80um 5Hz 62% 2.70Jcm-2</t>
  </si>
  <si>
    <t>My04b08           08</t>
  </si>
  <si>
    <t>&lt;6.00</t>
  </si>
  <si>
    <t>N8-3 liquid 80um 5Hz 64% 3.39Jcm-2</t>
  </si>
  <si>
    <t>My04b09           09</t>
  </si>
  <si>
    <t>N8-3 troilite 80um 5Hz 64% 2.93Jcm-2</t>
  </si>
  <si>
    <t>My04b10           10</t>
  </si>
  <si>
    <t>&lt;36.01</t>
  </si>
  <si>
    <t>&lt;7.05</t>
  </si>
  <si>
    <t>N8-3 troilite 80um 5Hz 64% 3.50Jcm-2</t>
  </si>
  <si>
    <t>&lt;9.04</t>
  </si>
  <si>
    <t>&lt;9.08</t>
  </si>
  <si>
    <t>&lt;5.92</t>
  </si>
  <si>
    <t>&lt;35.96</t>
  </si>
  <si>
    <t>user = N/A; file = My12a21; run = 021; parameter set = Element Menu Name; last calculated:</t>
  </si>
  <si>
    <t>&lt;923.54</t>
  </si>
  <si>
    <t>&lt;404.42</t>
  </si>
  <si>
    <t>NIST610 80um 10Hz 60% 3.16Jcm-2</t>
  </si>
  <si>
    <t>&lt;748.14</t>
  </si>
  <si>
    <t>&lt;396.56</t>
  </si>
  <si>
    <t>NIST610 80um 10Hz 60% 3.79Jcm-2</t>
  </si>
  <si>
    <t>Coahuila 80um 10Hz 60% 3.39Jcm-2</t>
  </si>
  <si>
    <t>Coahuila 80um 10Hz 60% 3.56Jcm-2</t>
  </si>
  <si>
    <t>My12a05           05</t>
  </si>
  <si>
    <t>Filomena 80um 10Hz 60% 2.76Jcm-2</t>
  </si>
  <si>
    <t>My12a06           06</t>
  </si>
  <si>
    <t>N12-1 (metal) 80um 10Hz 60% 3.50Jcm-2</t>
  </si>
  <si>
    <t>My12a07           07</t>
  </si>
  <si>
    <t>N12-1 (metal) 80um 10Hz 60% 2.93Jcm-2</t>
  </si>
  <si>
    <t>My12a08           08</t>
  </si>
  <si>
    <t>N12-1 (liquid) 80um 10Hz 60% 3.16Jcm-2</t>
  </si>
  <si>
    <t>My12a09           09</t>
  </si>
  <si>
    <t>N12-1 (liquid) 80um 10Hz 60% 3.33Jcm-2</t>
  </si>
  <si>
    <t>My12a10           10</t>
  </si>
  <si>
    <t>N12-1 (sulfide) 80um 5Hz 60% 3.04Jcm-2</t>
  </si>
  <si>
    <t>My12a11           11</t>
  </si>
  <si>
    <t>N12-1 (sulfide) 80um 5Hz 60% 2.87Jcm-2</t>
  </si>
  <si>
    <t>My12a12           12</t>
  </si>
  <si>
    <t>N12-1 (metal) 80um 5Hz 60% 2.98Jcm-2</t>
  </si>
  <si>
    <t>My12a13           13</t>
  </si>
  <si>
    <t>N12-1 (liquid) 80um 5Hz 60% 2.98Jcm-2</t>
  </si>
  <si>
    <t>My12a14           14</t>
  </si>
  <si>
    <t>N12-1 (sulfide) 80um 5Hz 60% 3.16Jcm-2</t>
  </si>
  <si>
    <t>My12a15           15</t>
  </si>
  <si>
    <t>N12-1 (sulfide) 80um 5Hz 60% 3.10Jcm-2</t>
  </si>
  <si>
    <t>My12a16           16</t>
  </si>
  <si>
    <t>N12-1 (liquid) 80um 5Hz 60% 3.21Jcm-2</t>
  </si>
  <si>
    <t>Coahuila 80um 10Hz 60% 3.10Jcm-2</t>
  </si>
  <si>
    <t>Coahuila 80um 10Hz 60% 2.76Jcm-2</t>
  </si>
  <si>
    <t>My12a19           19</t>
  </si>
  <si>
    <t>&lt;982.34</t>
  </si>
  <si>
    <t>&lt;550.90</t>
  </si>
  <si>
    <t>NIST610 80um 10Hz 60% 2.81Jcm-2</t>
  </si>
  <si>
    <t>My12a20           20</t>
  </si>
  <si>
    <t>&lt;1144.63</t>
  </si>
  <si>
    <t>&lt;591.38</t>
  </si>
  <si>
    <t>NIST610 80um 10Hz 60% 3.33Jcm-2</t>
  </si>
  <si>
    <t>My12a03           03</t>
  </si>
  <si>
    <t>&lt;9.46</t>
  </si>
  <si>
    <t>My12a04           04</t>
  </si>
  <si>
    <t>&lt;2.99</t>
  </si>
  <si>
    <t>&lt;4.23</t>
  </si>
  <si>
    <t>My12a17           17</t>
  </si>
  <si>
    <t>&lt;4.74</t>
  </si>
  <si>
    <t>&lt;2.10</t>
  </si>
  <si>
    <t>My12a18           18</t>
  </si>
  <si>
    <t>&lt;3.84</t>
  </si>
  <si>
    <t>&lt;8.38</t>
  </si>
  <si>
    <t>&lt;0.94</t>
  </si>
  <si>
    <t>My12b05           05</t>
  </si>
  <si>
    <t>N12-1 (liquid) 80um 5Hz 64% 2.93Jcm-2</t>
  </si>
  <si>
    <t>My12b06           06</t>
  </si>
  <si>
    <t>N12-1 (sulfide?) 80um 5Hz 64% 3.21Jcm-2</t>
  </si>
  <si>
    <t>My12b07           07</t>
  </si>
  <si>
    <t>N12-1 (metal) 80um 5Hz 64% 3.10Jcm-2</t>
  </si>
  <si>
    <t>My12b08           08</t>
  </si>
  <si>
    <t>N12-1 (metal) 80um 5Hz 64% 3.04Jcm-2</t>
  </si>
  <si>
    <t>My12b09           09</t>
  </si>
  <si>
    <t>N12-1 (liquid) 80um 5Hz 64% 3.56Jcm-2</t>
  </si>
  <si>
    <t>My12b10           10</t>
  </si>
  <si>
    <t>N12-1 (sulfide?) 80um 5Hz 64% 3.67Jcm-2</t>
  </si>
  <si>
    <t>Filter = 3 X LLD</t>
  </si>
  <si>
    <t>N8-4</t>
  </si>
  <si>
    <t>N8-3</t>
  </si>
  <si>
    <t>925 °C</t>
  </si>
  <si>
    <t>60 at% Fe</t>
  </si>
  <si>
    <t>8 at% Ni</t>
  </si>
  <si>
    <t>69.14  wt% Fe</t>
  </si>
  <si>
    <t>9.69 wt% Ni</t>
  </si>
  <si>
    <t xml:space="preserve"> 21.17 wt% S</t>
  </si>
  <si>
    <t>&lt;1323.7</t>
  </si>
  <si>
    <t>&lt;919.52</t>
  </si>
  <si>
    <t>&lt;4.13</t>
  </si>
  <si>
    <t>&lt;6.33</t>
  </si>
  <si>
    <t>&lt;9.29</t>
  </si>
  <si>
    <t>&lt;6.68</t>
  </si>
  <si>
    <t>&lt;8.06</t>
  </si>
  <si>
    <t>&lt;6.02</t>
  </si>
  <si>
    <t>&lt;643.06</t>
  </si>
  <si>
    <t>&lt;475.53</t>
  </si>
  <si>
    <t>&lt;56.6</t>
  </si>
  <si>
    <t>&lt;63.45</t>
  </si>
  <si>
    <t>&lt;57.2</t>
  </si>
  <si>
    <t>&lt;65.68</t>
  </si>
  <si>
    <t>&lt;78.24</t>
  </si>
  <si>
    <t>&lt;43.47</t>
  </si>
  <si>
    <t>&lt;1492.3</t>
  </si>
  <si>
    <t>&lt;1476.64</t>
  </si>
  <si>
    <t>&lt;712.28</t>
  </si>
  <si>
    <t>&lt;907.86</t>
  </si>
  <si>
    <t>&lt;6.21</t>
  </si>
  <si>
    <t>&lt;19.41</t>
  </si>
  <si>
    <t>&lt;17.97</t>
  </si>
  <si>
    <t>&lt;25.55</t>
  </si>
  <si>
    <t>&lt;24.69</t>
  </si>
  <si>
    <t>&lt;16.84</t>
  </si>
  <si>
    <t>&lt;13.8</t>
  </si>
  <si>
    <t>&lt;0.83</t>
  </si>
  <si>
    <t>&lt;1.3</t>
  </si>
  <si>
    <t>&lt;6.98</t>
  </si>
  <si>
    <t>&lt;6.79</t>
  </si>
  <si>
    <t>&lt;0.4</t>
  </si>
  <si>
    <t>&lt;0.97</t>
  </si>
  <si>
    <t>&lt;10.58</t>
  </si>
  <si>
    <t>&lt;12.32</t>
  </si>
  <si>
    <t>&lt;18.88</t>
  </si>
  <si>
    <t>&lt;27.72</t>
  </si>
  <si>
    <t>&lt;18.65</t>
  </si>
  <si>
    <t>&lt;22.5</t>
  </si>
  <si>
    <t>&lt;16.81</t>
  </si>
  <si>
    <t>&lt;4.79</t>
  </si>
  <si>
    <t>&lt;9.98</t>
  </si>
  <si>
    <t>&lt;9.77</t>
  </si>
  <si>
    <t>&lt;13.36</t>
  </si>
  <si>
    <t>&lt;9.73</t>
  </si>
  <si>
    <t>&lt;7.6</t>
  </si>
  <si>
    <t>&lt;4.81</t>
  </si>
  <si>
    <t>&lt;5.43</t>
  </si>
  <si>
    <t>&lt;60.87</t>
  </si>
  <si>
    <t>&lt;68.25</t>
  </si>
  <si>
    <t>&lt;61.52</t>
  </si>
  <si>
    <t>&lt;69.24</t>
  </si>
  <si>
    <t>&lt;82.48</t>
  </si>
  <si>
    <t>&lt;45.82</t>
  </si>
  <si>
    <t>&lt;34.97</t>
  </si>
  <si>
    <t>&lt;11.18</t>
  </si>
  <si>
    <t>&lt;0.9</t>
  </si>
  <si>
    <t>&lt;1.01</t>
  </si>
  <si>
    <t>&lt;19.93</t>
  </si>
  <si>
    <t>&lt;18.45</t>
  </si>
  <si>
    <t>&lt;26.23</t>
  </si>
  <si>
    <t>&lt;23.47</t>
  </si>
  <si>
    <t>&lt;16</t>
  </si>
  <si>
    <t>&lt;1.1</t>
  </si>
  <si>
    <t>&lt;13.12</t>
  </si>
  <si>
    <t>&lt;9.55</t>
  </si>
  <si>
    <t>&lt;19.03</t>
  </si>
  <si>
    <t>&lt;8.2</t>
  </si>
  <si>
    <t>&lt;11.67</t>
  </si>
  <si>
    <t>&lt;6.03</t>
  </si>
  <si>
    <t>&lt;19.3</t>
  </si>
  <si>
    <t>&lt;14.11</t>
  </si>
  <si>
    <t>&lt;3.29</t>
  </si>
  <si>
    <t>&lt;2.43</t>
  </si>
  <si>
    <t>&lt;1.08</t>
  </si>
  <si>
    <t>&lt;0.95</t>
  </si>
  <si>
    <t>&lt;0.7</t>
  </si>
  <si>
    <t>&lt;0.3</t>
  </si>
  <si>
    <t>&lt;0.6</t>
  </si>
  <si>
    <t>&lt;2.15</t>
  </si>
  <si>
    <t>&lt;2.45</t>
  </si>
  <si>
    <t>&lt;0.5</t>
  </si>
  <si>
    <t>&lt;2.17</t>
  </si>
  <si>
    <t>&lt;0.2</t>
  </si>
  <si>
    <t>&lt;0.87</t>
  </si>
  <si>
    <t>N/A</t>
  </si>
  <si>
    <t>&lt;9.3</t>
  </si>
  <si>
    <t>&lt;18.54</t>
  </si>
  <si>
    <t>&lt;7.99</t>
  </si>
  <si>
    <t>&lt;12.28</t>
  </si>
  <si>
    <t>N12-1</t>
  </si>
  <si>
    <t>2 days</t>
  </si>
  <si>
    <t>900 °C</t>
  </si>
  <si>
    <t>56 at% Fe</t>
  </si>
  <si>
    <t>12 at% Ni</t>
  </si>
  <si>
    <t>64.38  wt% Fe</t>
  </si>
  <si>
    <t>14.5 wt% Ni</t>
  </si>
  <si>
    <t xml:space="preserve"> 21.12 wt% S</t>
  </si>
  <si>
    <t xml:space="preserve"> 6 days</t>
  </si>
  <si>
    <t xml:space="preserve"> 60 at% Fe</t>
  </si>
  <si>
    <t>8  at% Ni</t>
  </si>
  <si>
    <t>69.14 wt% Fe</t>
  </si>
  <si>
    <t xml:space="preserve"> 9.69 wt% Ni</t>
  </si>
  <si>
    <t>21.17 wt% S</t>
  </si>
  <si>
    <t>Liquid Std. Dev. (1σ)</t>
  </si>
  <si>
    <t>Troilite Std. Dev. (1σ)</t>
  </si>
  <si>
    <t>Solid Std. Dev. (1σ)</t>
  </si>
  <si>
    <t>Liquid Std. Dev.  (1σ)</t>
  </si>
  <si>
    <t>Liquid  Std. Dev. (1σ)</t>
  </si>
  <si>
    <t>Run detection limit A</t>
  </si>
  <si>
    <t>Run detection limit B</t>
  </si>
  <si>
    <t>D Error (2σ)</t>
  </si>
  <si>
    <t>&lt;10.53</t>
  </si>
  <si>
    <t>&lt;3.12</t>
  </si>
  <si>
    <t>&lt;3.60</t>
  </si>
  <si>
    <t>&lt;12.71</t>
  </si>
  <si>
    <t>&lt;4.27</t>
  </si>
  <si>
    <t>&lt;6.36</t>
  </si>
  <si>
    <t>&lt;7.08</t>
  </si>
  <si>
    <t xml:space="preserve">My12a01           </t>
  </si>
  <si>
    <t xml:space="preserve">My12a02           </t>
  </si>
  <si>
    <t xml:space="preserve">std-1             </t>
  </si>
  <si>
    <t xml:space="preserve">std-2             </t>
  </si>
  <si>
    <t xml:space="preserve">My12a05           </t>
  </si>
  <si>
    <t xml:space="preserve">My12a06           </t>
  </si>
  <si>
    <t>&lt;4.28</t>
  </si>
  <si>
    <t xml:space="preserve">My12a07           </t>
  </si>
  <si>
    <t xml:space="preserve">My12a12           </t>
  </si>
  <si>
    <t xml:space="preserve">My12a10           </t>
  </si>
  <si>
    <t>&lt;2.65</t>
  </si>
  <si>
    <t xml:space="preserve">My12a11           </t>
  </si>
  <si>
    <t>&lt;4.06</t>
  </si>
  <si>
    <t xml:space="preserve">My12a14           </t>
  </si>
  <si>
    <t xml:space="preserve">My12a15           </t>
  </si>
  <si>
    <t xml:space="preserve">My12a08           </t>
  </si>
  <si>
    <t>&lt;4.53</t>
  </si>
  <si>
    <t xml:space="preserve">My12a09           </t>
  </si>
  <si>
    <t>&lt;4.63</t>
  </si>
  <si>
    <t xml:space="preserve">My12a13           </t>
  </si>
  <si>
    <t>&lt;10.05</t>
  </si>
  <si>
    <t xml:space="preserve">My12a16           </t>
  </si>
  <si>
    <t>&lt;9.07</t>
  </si>
  <si>
    <t>&lt;10.43</t>
  </si>
  <si>
    <t>&lt;5.83</t>
  </si>
  <si>
    <t>&lt;14.98</t>
  </si>
  <si>
    <t>&lt;6.13</t>
  </si>
  <si>
    <t>&lt;10.02</t>
  </si>
  <si>
    <t>&lt;10.15</t>
  </si>
  <si>
    <t>&lt;5.96</t>
  </si>
  <si>
    <t>D error (2σ)</t>
  </si>
  <si>
    <t>D(SM/LM) Error</t>
  </si>
  <si>
    <t>D(SM/LM)</t>
  </si>
  <si>
    <t>D(SM/Tro)</t>
  </si>
  <si>
    <t>Probe</t>
  </si>
  <si>
    <t>Run detection limit C</t>
  </si>
  <si>
    <t>HOBA</t>
  </si>
  <si>
    <t xml:space="preserve"> nbs 610              450</t>
  </si>
  <si>
    <t>Run detection limit E</t>
  </si>
  <si>
    <t>Run detection limit D</t>
  </si>
  <si>
    <t>Run detection limit F</t>
  </si>
  <si>
    <t>N8</t>
  </si>
  <si>
    <t>Upper bound</t>
  </si>
  <si>
    <t>Lower bound</t>
  </si>
  <si>
    <t>D(P)[max]</t>
  </si>
  <si>
    <t>D(P)[min]</t>
  </si>
  <si>
    <t>- error</t>
  </si>
  <si>
    <t>+ error</t>
  </si>
  <si>
    <t>Min. D(SM/Tro)</t>
  </si>
  <si>
    <t>n.d.</t>
  </si>
  <si>
    <t>Max D(SM/Tro)</t>
  </si>
  <si>
    <t>Min D(SM/Tro)</t>
  </si>
  <si>
    <t>True 2σ error</t>
  </si>
  <si>
    <t>-1σ error</t>
  </si>
  <si>
    <t>+1σ error</t>
  </si>
  <si>
    <t>Liquid Std. Dev. (2σ)</t>
  </si>
  <si>
    <t>Troilite Std. Dev. (2σ)</t>
  </si>
  <si>
    <t>Solid Std. Dev. (2σ)</t>
  </si>
  <si>
    <t>Liquid Std. Dev.  (2σ)</t>
  </si>
  <si>
    <t>Liquid  Std. Dev. (2σ)</t>
  </si>
  <si>
    <t>Solid (2σ)</t>
  </si>
  <si>
    <t>Troilite (2σ)</t>
  </si>
  <si>
    <t>Liquid (2σ)</t>
  </si>
  <si>
    <t>ß</t>
  </si>
  <si>
    <t>D(Tro/LM)</t>
  </si>
  <si>
    <t>D(Tro/LM) Error</t>
  </si>
  <si>
    <t>D(Tro/:LM) Error</t>
  </si>
  <si>
    <t>Max D(Tro/LM)</t>
  </si>
  <si>
    <t>Min D(Tro/LM)</t>
  </si>
  <si>
    <t>&lt;-0.773040839330763</t>
  </si>
  <si>
    <t>&lt;-2.02893568331103</t>
  </si>
  <si>
    <t>&lt;-3.07297310523902</t>
  </si>
  <si>
    <t>&lt;-0.403928035134026</t>
  </si>
  <si>
    <t xml:space="preserve"> </t>
  </si>
  <si>
    <t>ln(SM/LM[Bi])</t>
  </si>
  <si>
    <t>ln(FeD)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</si>
</sst>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hh:mm\ AM/PM"/>
    <numFmt numFmtId="165" formatCode="mm/dd/yy"/>
    <numFmt numFmtId="166" formatCode="0.0"/>
    <numFmt numFmtId="167" formatCode="0.000"/>
    <numFmt numFmtId="168" formatCode="0.0000"/>
    <numFmt numFmtId="169" formatCode="0.00000"/>
    <numFmt numFmtId="170" formatCode="0.000000"/>
    <numFmt numFmtId="171" formatCode="0.0000000"/>
    <numFmt numFmtId="172" formatCode="0.00000000"/>
    <numFmt numFmtId="173" formatCode="0.000000000"/>
    <numFmt numFmtId="174" formatCode="0.00000000000"/>
  </numFmts>
  <fonts count="6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2"/>
      <name val="Arial"/>
      <family val="2"/>
    </font>
    <font>
      <b/>
      <sz val="13"/>
      <color indexed="10"/>
      <name val="Arial"/>
      <family val="2"/>
    </font>
    <font>
      <b/>
      <sz val="13"/>
      <color indexed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indexed="10"/>
      <name val="Arial"/>
      <family val="2"/>
    </font>
    <font>
      <sz val="12"/>
      <color indexed="8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2"/>
      <color rgb="FF000000"/>
      <name val="Calibri"/>
      <family val="2"/>
      <scheme val="minor"/>
    </font>
    <font>
      <b/>
      <u/>
      <sz val="12"/>
      <color theme="1"/>
      <name val="Calibri (Body)_x0000_"/>
    </font>
    <font>
      <i/>
      <sz val="13"/>
      <name val="Arial"/>
      <family val="2"/>
    </font>
    <font>
      <i/>
      <sz val="13"/>
      <color indexed="8"/>
      <name val="Arial"/>
      <family val="2"/>
    </font>
    <font>
      <b/>
      <sz val="13"/>
      <color rgb="FF00B0F0"/>
      <name val="Arial"/>
      <family val="2"/>
    </font>
    <font>
      <b/>
      <u/>
      <sz val="11"/>
      <color theme="1"/>
      <name val="Calibri"/>
      <family val="2"/>
      <scheme val="minor"/>
    </font>
    <font>
      <b/>
      <sz val="13"/>
      <color rgb="FF00B050"/>
      <name val="Arial"/>
      <family val="2"/>
    </font>
    <font>
      <sz val="12"/>
      <color theme="1"/>
      <name val="Calibri (Body)_x0000_"/>
    </font>
    <font>
      <b/>
      <sz val="12"/>
      <color rgb="FF00B050"/>
      <name val="Arial"/>
      <family val="2"/>
    </font>
    <font>
      <b/>
      <sz val="12"/>
      <color rgb="FF00B0F0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9" tint="0.59996337778862885"/>
        <bgColor rgb="FF00B0F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rgb="FF00B0F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B0F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0" fillId="2" borderId="0"/>
    <xf numFmtId="0" fontId="23" fillId="2" borderId="0"/>
    <xf numFmtId="0" fontId="26" fillId="0" borderId="0"/>
  </cellStyleXfs>
  <cellXfs count="1564">
    <xf numFmtId="0" fontId="0" fillId="0" borderId="0" xfId="0"/>
    <xf numFmtId="0" fontId="24" fillId="8" borderId="0" xfId="0" applyFont="1" applyFill="1" applyAlignment="1">
      <alignment horizontal="left"/>
    </xf>
    <xf numFmtId="0" fontId="25" fillId="8" borderId="0" xfId="0" applyFont="1" applyFill="1" applyAlignment="1">
      <alignment horizontal="left"/>
    </xf>
    <xf numFmtId="0" fontId="23" fillId="8" borderId="0" xfId="0" applyFont="1" applyFill="1" applyAlignment="1">
      <alignment horizontal="left"/>
    </xf>
    <xf numFmtId="0" fontId="24" fillId="8" borderId="0" xfId="0" applyFont="1" applyFill="1"/>
    <xf numFmtId="164" fontId="25" fillId="8" borderId="0" xfId="0" applyNumberFormat="1" applyFont="1" applyFill="1" applyAlignment="1">
      <alignment horizontal="left"/>
    </xf>
    <xf numFmtId="165" fontId="25" fillId="8" borderId="0" xfId="0" applyNumberFormat="1" applyFont="1" applyFill="1" applyAlignment="1">
      <alignment horizontal="left"/>
    </xf>
    <xf numFmtId="0" fontId="25" fillId="8" borderId="0" xfId="0" applyFont="1" applyFill="1"/>
    <xf numFmtId="0" fontId="25" fillId="8" borderId="0" xfId="0" applyFont="1" applyFill="1" applyAlignment="1">
      <alignment horizontal="right"/>
    </xf>
    <xf numFmtId="0" fontId="25" fillId="8" borderId="1" xfId="0" applyFont="1" applyFill="1" applyBorder="1" applyAlignment="1">
      <alignment horizontal="right"/>
    </xf>
    <xf numFmtId="0" fontId="25" fillId="8" borderId="2" xfId="0" applyFont="1" applyFill="1" applyBorder="1" applyAlignment="1">
      <alignment horizontal="right"/>
    </xf>
    <xf numFmtId="0" fontId="23" fillId="8" borderId="0" xfId="0" applyFont="1" applyFill="1" applyAlignment="1">
      <alignment horizontal="right"/>
    </xf>
    <xf numFmtId="0" fontId="23" fillId="8" borderId="2" xfId="0" applyFont="1" applyFill="1" applyBorder="1" applyAlignment="1">
      <alignment horizontal="right"/>
    </xf>
    <xf numFmtId="166" fontId="25" fillId="8" borderId="0" xfId="0" applyNumberFormat="1" applyFont="1" applyFill="1" applyAlignment="1">
      <alignment horizontal="right"/>
    </xf>
    <xf numFmtId="1" fontId="25" fillId="8" borderId="0" xfId="0" applyNumberFormat="1" applyFont="1" applyFill="1" applyAlignment="1">
      <alignment horizontal="right"/>
    </xf>
    <xf numFmtId="1" fontId="25" fillId="8" borderId="2" xfId="0" applyNumberFormat="1" applyFont="1" applyFill="1" applyBorder="1" applyAlignment="1">
      <alignment horizontal="right"/>
    </xf>
    <xf numFmtId="2" fontId="25" fillId="8" borderId="0" xfId="0" applyNumberFormat="1" applyFont="1" applyFill="1" applyAlignment="1">
      <alignment horizontal="right"/>
    </xf>
    <xf numFmtId="2" fontId="25" fillId="8" borderId="2" xfId="0" applyNumberFormat="1" applyFont="1" applyFill="1" applyBorder="1" applyAlignment="1">
      <alignment horizontal="right"/>
    </xf>
    <xf numFmtId="2" fontId="27" fillId="8" borderId="0" xfId="0" applyNumberFormat="1" applyFont="1" applyFill="1" applyAlignment="1">
      <alignment horizontal="right"/>
    </xf>
    <xf numFmtId="9" fontId="25" fillId="8" borderId="0" xfId="0" applyNumberFormat="1" applyFont="1" applyFill="1" applyAlignment="1">
      <alignment horizontal="right"/>
    </xf>
    <xf numFmtId="0" fontId="25" fillId="9" borderId="3" xfId="0" applyFont="1" applyFill="1" applyBorder="1"/>
    <xf numFmtId="166" fontId="28" fillId="9" borderId="4" xfId="0" applyNumberFormat="1" applyFont="1" applyFill="1" applyBorder="1" applyAlignment="1">
      <alignment horizontal="right"/>
    </xf>
    <xf numFmtId="1" fontId="25" fillId="9" borderId="4" xfId="0" applyNumberFormat="1" applyFont="1" applyFill="1" applyBorder="1" applyAlignment="1">
      <alignment horizontal="right"/>
    </xf>
    <xf numFmtId="2" fontId="27" fillId="9" borderId="4" xfId="0" applyNumberFormat="1" applyFont="1" applyFill="1" applyBorder="1" applyAlignment="1">
      <alignment horizontal="right"/>
    </xf>
    <xf numFmtId="1" fontId="25" fillId="9" borderId="1" xfId="0" applyNumberFormat="1" applyFont="1" applyFill="1" applyBorder="1" applyAlignment="1">
      <alignment horizontal="right"/>
    </xf>
    <xf numFmtId="166" fontId="25" fillId="9" borderId="4" xfId="0" applyNumberFormat="1" applyFont="1" applyFill="1" applyBorder="1" applyAlignment="1">
      <alignment horizontal="right"/>
    </xf>
    <xf numFmtId="2" fontId="25" fillId="9" borderId="4" xfId="0" applyNumberFormat="1" applyFont="1" applyFill="1" applyBorder="1" applyAlignment="1">
      <alignment horizontal="right"/>
    </xf>
    <xf numFmtId="0" fontId="25" fillId="9" borderId="4" xfId="0" applyFont="1" applyFill="1" applyBorder="1" applyAlignment="1">
      <alignment horizontal="right"/>
    </xf>
    <xf numFmtId="9" fontId="25" fillId="9" borderId="4" xfId="0" applyNumberFormat="1" applyFont="1" applyFill="1" applyBorder="1" applyAlignment="1">
      <alignment horizontal="right"/>
    </xf>
    <xf numFmtId="0" fontId="25" fillId="9" borderId="5" xfId="0" applyFont="1" applyFill="1" applyBorder="1" applyAlignment="1">
      <alignment horizontal="left"/>
    </xf>
    <xf numFmtId="0" fontId="25" fillId="9" borderId="6" xfId="0" applyFont="1" applyFill="1" applyBorder="1"/>
    <xf numFmtId="1" fontId="28" fillId="9" borderId="7" xfId="0" applyNumberFormat="1" applyFont="1" applyFill="1" applyBorder="1" applyAlignment="1">
      <alignment horizontal="right"/>
    </xf>
    <xf numFmtId="1" fontId="25" fillId="9" borderId="7" xfId="0" applyNumberFormat="1" applyFont="1" applyFill="1" applyBorder="1" applyAlignment="1">
      <alignment horizontal="right"/>
    </xf>
    <xf numFmtId="1" fontId="25" fillId="9" borderId="8" xfId="0" applyNumberFormat="1" applyFont="1" applyFill="1" applyBorder="1" applyAlignment="1">
      <alignment horizontal="right"/>
    </xf>
    <xf numFmtId="166" fontId="25" fillId="9" borderId="7" xfId="0" applyNumberFormat="1" applyFont="1" applyFill="1" applyBorder="1" applyAlignment="1">
      <alignment horizontal="right"/>
    </xf>
    <xf numFmtId="2" fontId="25" fillId="9" borderId="7" xfId="0" applyNumberFormat="1" applyFont="1" applyFill="1" applyBorder="1" applyAlignment="1">
      <alignment horizontal="right"/>
    </xf>
    <xf numFmtId="2" fontId="27" fillId="9" borderId="7" xfId="0" applyNumberFormat="1" applyFont="1" applyFill="1" applyBorder="1" applyAlignment="1">
      <alignment horizontal="right"/>
    </xf>
    <xf numFmtId="0" fontId="25" fillId="9" borderId="7" xfId="0" applyFont="1" applyFill="1" applyBorder="1" applyAlignment="1">
      <alignment horizontal="right"/>
    </xf>
    <xf numFmtId="9" fontId="25" fillId="9" borderId="7" xfId="0" applyNumberFormat="1" applyFont="1" applyFill="1" applyBorder="1" applyAlignment="1">
      <alignment horizontal="right"/>
    </xf>
    <xf numFmtId="0" fontId="25" fillId="9" borderId="9" xfId="0" applyFont="1" applyFill="1" applyBorder="1" applyAlignment="1">
      <alignment horizontal="left"/>
    </xf>
    <xf numFmtId="0" fontId="25" fillId="10" borderId="0" xfId="0" applyFont="1" applyFill="1"/>
    <xf numFmtId="2" fontId="28" fillId="10" borderId="0" xfId="0" applyNumberFormat="1" applyFont="1" applyFill="1" applyAlignment="1">
      <alignment horizontal="right"/>
    </xf>
    <xf numFmtId="1" fontId="25" fillId="10" borderId="0" xfId="0" applyNumberFormat="1" applyFont="1" applyFill="1" applyAlignment="1">
      <alignment horizontal="right"/>
    </xf>
    <xf numFmtId="1" fontId="25" fillId="10" borderId="2" xfId="0" applyNumberFormat="1" applyFont="1" applyFill="1" applyBorder="1" applyAlignment="1">
      <alignment horizontal="right"/>
    </xf>
    <xf numFmtId="2" fontId="25" fillId="10" borderId="0" xfId="0" applyNumberFormat="1" applyFont="1" applyFill="1" applyAlignment="1">
      <alignment horizontal="right"/>
    </xf>
    <xf numFmtId="166" fontId="25" fillId="10" borderId="0" xfId="0" applyNumberFormat="1" applyFont="1" applyFill="1" applyAlignment="1">
      <alignment horizontal="right"/>
    </xf>
    <xf numFmtId="2" fontId="27" fillId="10" borderId="0" xfId="0" applyNumberFormat="1" applyFont="1" applyFill="1" applyAlignment="1">
      <alignment horizontal="right"/>
    </xf>
    <xf numFmtId="0" fontId="25" fillId="10" borderId="0" xfId="0" applyFont="1" applyFill="1" applyAlignment="1">
      <alignment horizontal="right"/>
    </xf>
    <xf numFmtId="9" fontId="25" fillId="10" borderId="0" xfId="0" applyNumberFormat="1" applyFont="1" applyFill="1" applyAlignment="1">
      <alignment horizontal="right"/>
    </xf>
    <xf numFmtId="0" fontId="25" fillId="10" borderId="0" xfId="0" applyFont="1" applyFill="1" applyAlignment="1">
      <alignment horizontal="left"/>
    </xf>
    <xf numFmtId="0" fontId="25" fillId="11" borderId="0" xfId="0" applyFont="1" applyFill="1"/>
    <xf numFmtId="2" fontId="28" fillId="11" borderId="0" xfId="0" applyNumberFormat="1" applyFont="1" applyFill="1" applyAlignment="1">
      <alignment horizontal="right"/>
    </xf>
    <xf numFmtId="2" fontId="25" fillId="11" borderId="0" xfId="0" applyNumberFormat="1" applyFont="1" applyFill="1" applyAlignment="1">
      <alignment horizontal="right"/>
    </xf>
    <xf numFmtId="1" fontId="25" fillId="11" borderId="0" xfId="0" applyNumberFormat="1" applyFont="1" applyFill="1" applyAlignment="1">
      <alignment horizontal="right"/>
    </xf>
    <xf numFmtId="1" fontId="25" fillId="11" borderId="2" xfId="0" applyNumberFormat="1" applyFont="1" applyFill="1" applyBorder="1" applyAlignment="1">
      <alignment horizontal="right"/>
    </xf>
    <xf numFmtId="0" fontId="25" fillId="11" borderId="0" xfId="0" applyFont="1" applyFill="1" applyAlignment="1">
      <alignment horizontal="right"/>
    </xf>
    <xf numFmtId="166" fontId="25" fillId="11" borderId="0" xfId="0" applyNumberFormat="1" applyFont="1" applyFill="1" applyAlignment="1">
      <alignment horizontal="right"/>
    </xf>
    <xf numFmtId="9" fontId="25" fillId="11" borderId="0" xfId="0" applyNumberFormat="1" applyFont="1" applyFill="1" applyAlignment="1">
      <alignment horizontal="right"/>
    </xf>
    <xf numFmtId="0" fontId="25" fillId="11" borderId="0" xfId="0" applyFont="1" applyFill="1" applyAlignment="1">
      <alignment horizontal="left"/>
    </xf>
    <xf numFmtId="0" fontId="25" fillId="12" borderId="0" xfId="0" applyFont="1" applyFill="1"/>
    <xf numFmtId="1" fontId="25" fillId="12" borderId="0" xfId="0" applyNumberFormat="1" applyFont="1" applyFill="1" applyAlignment="1">
      <alignment horizontal="right"/>
    </xf>
    <xf numFmtId="166" fontId="25" fillId="12" borderId="0" xfId="0" applyNumberFormat="1" applyFont="1" applyFill="1" applyAlignment="1">
      <alignment horizontal="right"/>
    </xf>
    <xf numFmtId="1" fontId="25" fillId="12" borderId="2" xfId="0" applyNumberFormat="1" applyFont="1" applyFill="1" applyBorder="1" applyAlignment="1">
      <alignment horizontal="right"/>
    </xf>
    <xf numFmtId="2" fontId="27" fillId="12" borderId="0" xfId="0" applyNumberFormat="1" applyFont="1" applyFill="1" applyAlignment="1">
      <alignment horizontal="right"/>
    </xf>
    <xf numFmtId="2" fontId="25" fillId="12" borderId="0" xfId="0" applyNumberFormat="1" applyFont="1" applyFill="1" applyAlignment="1">
      <alignment horizontal="right"/>
    </xf>
    <xf numFmtId="167" fontId="25" fillId="12" borderId="0" xfId="0" applyNumberFormat="1" applyFont="1" applyFill="1" applyAlignment="1">
      <alignment horizontal="right"/>
    </xf>
    <xf numFmtId="0" fontId="25" fillId="12" borderId="0" xfId="0" applyFont="1" applyFill="1" applyAlignment="1">
      <alignment horizontal="right"/>
    </xf>
    <xf numFmtId="9" fontId="25" fillId="12" borderId="0" xfId="0" applyNumberFormat="1" applyFont="1" applyFill="1" applyAlignment="1">
      <alignment horizontal="right"/>
    </xf>
    <xf numFmtId="0" fontId="25" fillId="12" borderId="0" xfId="0" applyFont="1" applyFill="1" applyAlignment="1">
      <alignment horizontal="left"/>
    </xf>
    <xf numFmtId="166" fontId="28" fillId="11" borderId="0" xfId="0" applyNumberFormat="1" applyFont="1" applyFill="1" applyAlignment="1">
      <alignment horizontal="right"/>
    </xf>
    <xf numFmtId="166" fontId="28" fillId="9" borderId="7" xfId="0" applyNumberFormat="1" applyFont="1" applyFill="1" applyBorder="1" applyAlignment="1">
      <alignment horizontal="right"/>
    </xf>
    <xf numFmtId="167" fontId="25" fillId="8" borderId="0" xfId="0" applyNumberFormat="1" applyFont="1" applyFill="1" applyAlignment="1">
      <alignment horizontal="right"/>
    </xf>
    <xf numFmtId="1" fontId="25" fillId="8" borderId="8" xfId="0" applyNumberFormat="1" applyFont="1" applyFill="1" applyBorder="1" applyAlignment="1">
      <alignment horizontal="right"/>
    </xf>
    <xf numFmtId="0" fontId="29" fillId="2" borderId="0" xfId="0" applyFont="1" applyFill="1"/>
    <xf numFmtId="0" fontId="30" fillId="2" borderId="0" xfId="0" applyFont="1" applyFill="1"/>
    <xf numFmtId="164" fontId="30" fillId="2" borderId="0" xfId="0" applyNumberFormat="1" applyFont="1" applyFill="1"/>
    <xf numFmtId="165" fontId="30" fillId="2" borderId="0" xfId="0" applyNumberFormat="1" applyFont="1" applyFill="1"/>
    <xf numFmtId="0" fontId="30" fillId="2" borderId="0" xfId="0" applyFont="1" applyFill="1" applyAlignment="1">
      <alignment horizontal="right"/>
    </xf>
    <xf numFmtId="0" fontId="30" fillId="2" borderId="1" xfId="0" applyFont="1" applyFill="1" applyBorder="1" applyAlignment="1">
      <alignment horizontal="right"/>
    </xf>
    <xf numFmtId="0" fontId="30" fillId="2" borderId="0" xfId="0" applyFont="1" applyFill="1" applyAlignment="1">
      <alignment horizontal="left"/>
    </xf>
    <xf numFmtId="0" fontId="30" fillId="2" borderId="2" xfId="0" applyFont="1" applyFill="1" applyBorder="1"/>
    <xf numFmtId="0" fontId="30" fillId="2" borderId="2" xfId="0" applyFont="1" applyFill="1" applyBorder="1" applyAlignment="1">
      <alignment horizontal="right"/>
    </xf>
    <xf numFmtId="2" fontId="30" fillId="2" borderId="0" xfId="0" applyNumberFormat="1" applyFont="1" applyFill="1"/>
    <xf numFmtId="1" fontId="30" fillId="2" borderId="0" xfId="0" applyNumberFormat="1" applyFont="1" applyFill="1"/>
    <xf numFmtId="1" fontId="30" fillId="2" borderId="2" xfId="0" applyNumberFormat="1" applyFont="1" applyFill="1" applyBorder="1"/>
    <xf numFmtId="2" fontId="30" fillId="2" borderId="2" xfId="0" applyNumberFormat="1" applyFont="1" applyFill="1" applyBorder="1"/>
    <xf numFmtId="0" fontId="30" fillId="13" borderId="3" xfId="0" applyFont="1" applyFill="1" applyBorder="1"/>
    <xf numFmtId="1" fontId="30" fillId="13" borderId="4" xfId="0" applyNumberFormat="1" applyFont="1" applyFill="1" applyBorder="1" applyAlignment="1">
      <alignment horizontal="right"/>
    </xf>
    <xf numFmtId="2" fontId="30" fillId="13" borderId="4" xfId="0" applyNumberFormat="1" applyFont="1" applyFill="1" applyBorder="1" applyAlignment="1">
      <alignment horizontal="right"/>
    </xf>
    <xf numFmtId="1" fontId="30" fillId="13" borderId="1" xfId="0" applyNumberFormat="1" applyFont="1" applyFill="1" applyBorder="1" applyAlignment="1">
      <alignment horizontal="right"/>
    </xf>
    <xf numFmtId="166" fontId="30" fillId="13" borderId="4" xfId="0" applyNumberFormat="1" applyFont="1" applyFill="1" applyBorder="1" applyAlignment="1">
      <alignment horizontal="right"/>
    </xf>
    <xf numFmtId="0" fontId="30" fillId="13" borderId="4" xfId="0" applyFont="1" applyFill="1" applyBorder="1"/>
    <xf numFmtId="166" fontId="30" fillId="13" borderId="4" xfId="0" applyNumberFormat="1" applyFont="1" applyFill="1" applyBorder="1"/>
    <xf numFmtId="9" fontId="30" fillId="13" borderId="4" xfId="0" applyNumberFormat="1" applyFont="1" applyFill="1" applyBorder="1"/>
    <xf numFmtId="0" fontId="30" fillId="13" borderId="5" xfId="0" applyFont="1" applyFill="1" applyBorder="1"/>
    <xf numFmtId="0" fontId="30" fillId="13" borderId="6" xfId="0" applyFont="1" applyFill="1" applyBorder="1"/>
    <xf numFmtId="1" fontId="30" fillId="13" borderId="7" xfId="0" applyNumberFormat="1" applyFont="1" applyFill="1" applyBorder="1" applyAlignment="1">
      <alignment horizontal="right"/>
    </xf>
    <xf numFmtId="2" fontId="30" fillId="13" borderId="7" xfId="0" applyNumberFormat="1" applyFont="1" applyFill="1" applyBorder="1" applyAlignment="1">
      <alignment horizontal="right"/>
    </xf>
    <xf numFmtId="1" fontId="30" fillId="13" borderId="8" xfId="0" applyNumberFormat="1" applyFont="1" applyFill="1" applyBorder="1" applyAlignment="1">
      <alignment horizontal="right"/>
    </xf>
    <xf numFmtId="166" fontId="30" fillId="13" borderId="7" xfId="0" applyNumberFormat="1" applyFont="1" applyFill="1" applyBorder="1" applyAlignment="1">
      <alignment horizontal="right"/>
    </xf>
    <xf numFmtId="0" fontId="30" fillId="13" borderId="7" xfId="0" applyFont="1" applyFill="1" applyBorder="1"/>
    <xf numFmtId="166" fontId="30" fillId="13" borderId="7" xfId="0" applyNumberFormat="1" applyFont="1" applyFill="1" applyBorder="1"/>
    <xf numFmtId="9" fontId="30" fillId="13" borderId="7" xfId="0" applyNumberFormat="1" applyFont="1" applyFill="1" applyBorder="1"/>
    <xf numFmtId="0" fontId="30" fillId="13" borderId="9" xfId="0" applyFont="1" applyFill="1" applyBorder="1"/>
    <xf numFmtId="0" fontId="30" fillId="3" borderId="0" xfId="0" applyFont="1" applyFill="1"/>
    <xf numFmtId="166" fontId="31" fillId="3" borderId="0" xfId="0" applyNumberFormat="1" applyFont="1" applyFill="1" applyAlignment="1">
      <alignment horizontal="right"/>
    </xf>
    <xf numFmtId="1" fontId="30" fillId="3" borderId="0" xfId="0" applyNumberFormat="1" applyFont="1" applyFill="1" applyAlignment="1">
      <alignment horizontal="right"/>
    </xf>
    <xf numFmtId="2" fontId="31" fillId="3" borderId="0" xfId="0" applyNumberFormat="1" applyFont="1" applyFill="1" applyAlignment="1">
      <alignment horizontal="right"/>
    </xf>
    <xf numFmtId="2" fontId="30" fillId="3" borderId="0" xfId="0" applyNumberFormat="1" applyFont="1" applyFill="1" applyAlignment="1">
      <alignment horizontal="right"/>
    </xf>
    <xf numFmtId="1" fontId="30" fillId="3" borderId="2" xfId="0" applyNumberFormat="1" applyFont="1" applyFill="1" applyBorder="1" applyAlignment="1">
      <alignment horizontal="right"/>
    </xf>
    <xf numFmtId="1" fontId="31" fillId="3" borderId="0" xfId="0" applyNumberFormat="1" applyFont="1" applyFill="1" applyAlignment="1">
      <alignment horizontal="right"/>
    </xf>
    <xf numFmtId="166" fontId="30" fillId="3" borderId="0" xfId="0" applyNumberFormat="1" applyFont="1" applyFill="1" applyAlignment="1">
      <alignment horizontal="right"/>
    </xf>
    <xf numFmtId="166" fontId="30" fillId="3" borderId="0" xfId="0" applyNumberFormat="1" applyFont="1" applyFill="1"/>
    <xf numFmtId="9" fontId="30" fillId="3" borderId="0" xfId="0" applyNumberFormat="1" applyFont="1" applyFill="1"/>
    <xf numFmtId="0" fontId="30" fillId="4" borderId="0" xfId="0" applyFont="1" applyFill="1"/>
    <xf numFmtId="2" fontId="31" fillId="4" borderId="0" xfId="0" applyNumberFormat="1" applyFont="1" applyFill="1" applyAlignment="1">
      <alignment horizontal="right"/>
    </xf>
    <xf numFmtId="1" fontId="30" fillId="4" borderId="0" xfId="0" applyNumberFormat="1" applyFont="1" applyFill="1" applyAlignment="1">
      <alignment horizontal="right"/>
    </xf>
    <xf numFmtId="2" fontId="30" fillId="4" borderId="0" xfId="0" applyNumberFormat="1" applyFont="1" applyFill="1" applyAlignment="1">
      <alignment horizontal="right"/>
    </xf>
    <xf numFmtId="1" fontId="30" fillId="4" borderId="2" xfId="0" applyNumberFormat="1" applyFont="1" applyFill="1" applyBorder="1" applyAlignment="1">
      <alignment horizontal="right"/>
    </xf>
    <xf numFmtId="166" fontId="30" fillId="4" borderId="0" xfId="0" applyNumberFormat="1" applyFont="1" applyFill="1" applyAlignment="1">
      <alignment horizontal="right"/>
    </xf>
    <xf numFmtId="166" fontId="30" fillId="4" borderId="0" xfId="0" applyNumberFormat="1" applyFont="1" applyFill="1"/>
    <xf numFmtId="9" fontId="30" fillId="4" borderId="0" xfId="0" applyNumberFormat="1" applyFont="1" applyFill="1"/>
    <xf numFmtId="0" fontId="30" fillId="5" borderId="10" xfId="0" applyFont="1" applyFill="1" applyBorder="1"/>
    <xf numFmtId="2" fontId="31" fillId="5" borderId="11" xfId="0" applyNumberFormat="1" applyFont="1" applyFill="1" applyBorder="1" applyAlignment="1">
      <alignment horizontal="right"/>
    </xf>
    <xf numFmtId="2" fontId="30" fillId="5" borderId="11" xfId="0" applyNumberFormat="1" applyFont="1" applyFill="1" applyBorder="1" applyAlignment="1">
      <alignment horizontal="right"/>
    </xf>
    <xf numFmtId="1" fontId="30" fillId="5" borderId="11" xfId="0" applyNumberFormat="1" applyFont="1" applyFill="1" applyBorder="1" applyAlignment="1">
      <alignment horizontal="right"/>
    </xf>
    <xf numFmtId="1" fontId="30" fillId="5" borderId="12" xfId="0" applyNumberFormat="1" applyFont="1" applyFill="1" applyBorder="1" applyAlignment="1">
      <alignment horizontal="right"/>
    </xf>
    <xf numFmtId="0" fontId="30" fillId="5" borderId="11" xfId="0" applyFont="1" applyFill="1" applyBorder="1"/>
    <xf numFmtId="166" fontId="30" fillId="5" borderId="11" xfId="0" applyNumberFormat="1" applyFont="1" applyFill="1" applyBorder="1"/>
    <xf numFmtId="9" fontId="30" fillId="5" borderId="11" xfId="0" applyNumberFormat="1" applyFont="1" applyFill="1" applyBorder="1"/>
    <xf numFmtId="0" fontId="30" fillId="5" borderId="13" xfId="0" applyFont="1" applyFill="1" applyBorder="1"/>
    <xf numFmtId="1" fontId="30" fillId="6" borderId="0" xfId="0" applyNumberFormat="1" applyFont="1" applyFill="1" applyAlignment="1">
      <alignment horizontal="right"/>
    </xf>
    <xf numFmtId="1" fontId="30" fillId="6" borderId="2" xfId="0" applyNumberFormat="1" applyFont="1" applyFill="1" applyBorder="1" applyAlignment="1">
      <alignment horizontal="right"/>
    </xf>
    <xf numFmtId="2" fontId="30" fillId="6" borderId="0" xfId="0" applyNumberFormat="1" applyFont="1" applyFill="1" applyAlignment="1">
      <alignment horizontal="right"/>
    </xf>
    <xf numFmtId="2" fontId="31" fillId="6" borderId="0" xfId="0" applyNumberFormat="1" applyFont="1" applyFill="1" applyAlignment="1">
      <alignment horizontal="right"/>
    </xf>
    <xf numFmtId="166" fontId="30" fillId="6" borderId="0" xfId="0" applyNumberFormat="1" applyFont="1" applyFill="1" applyAlignment="1">
      <alignment horizontal="right"/>
    </xf>
    <xf numFmtId="0" fontId="30" fillId="6" borderId="0" xfId="0" applyFont="1" applyFill="1"/>
    <xf numFmtId="166" fontId="30" fillId="6" borderId="0" xfId="0" applyNumberFormat="1" applyFont="1" applyFill="1"/>
    <xf numFmtId="9" fontId="30" fillId="6" borderId="0" xfId="0" applyNumberFormat="1" applyFont="1" applyFill="1"/>
    <xf numFmtId="0" fontId="30" fillId="6" borderId="15" xfId="0" applyFont="1" applyFill="1" applyBorder="1"/>
    <xf numFmtId="0" fontId="30" fillId="7" borderId="14" xfId="0" applyFont="1" applyFill="1" applyBorder="1"/>
    <xf numFmtId="1" fontId="30" fillId="7" borderId="0" xfId="0" applyNumberFormat="1" applyFont="1" applyFill="1" applyAlignment="1">
      <alignment horizontal="right"/>
    </xf>
    <xf numFmtId="1" fontId="30" fillId="7" borderId="2" xfId="0" applyNumberFormat="1" applyFont="1" applyFill="1" applyBorder="1" applyAlignment="1">
      <alignment horizontal="right"/>
    </xf>
    <xf numFmtId="166" fontId="30" fillId="7" borderId="0" xfId="0" applyNumberFormat="1" applyFont="1" applyFill="1" applyAlignment="1">
      <alignment horizontal="right"/>
    </xf>
    <xf numFmtId="2" fontId="31" fillId="7" borderId="0" xfId="0" applyNumberFormat="1" applyFont="1" applyFill="1" applyAlignment="1">
      <alignment horizontal="right"/>
    </xf>
    <xf numFmtId="2" fontId="30" fillId="7" borderId="0" xfId="0" applyNumberFormat="1" applyFont="1" applyFill="1" applyAlignment="1">
      <alignment horizontal="right"/>
    </xf>
    <xf numFmtId="0" fontId="30" fillId="7" borderId="0" xfId="0" applyFont="1" applyFill="1"/>
    <xf numFmtId="166" fontId="30" fillId="7" borderId="0" xfId="0" applyNumberFormat="1" applyFont="1" applyFill="1"/>
    <xf numFmtId="9" fontId="30" fillId="7" borderId="0" xfId="0" applyNumberFormat="1" applyFont="1" applyFill="1"/>
    <xf numFmtId="0" fontId="30" fillId="7" borderId="15" xfId="0" applyFont="1" applyFill="1" applyBorder="1"/>
    <xf numFmtId="167" fontId="30" fillId="7" borderId="0" xfId="0" applyNumberFormat="1" applyFont="1" applyFill="1" applyAlignment="1">
      <alignment horizontal="right"/>
    </xf>
    <xf numFmtId="0" fontId="30" fillId="5" borderId="14" xfId="0" applyFont="1" applyFill="1" applyBorder="1"/>
    <xf numFmtId="166" fontId="31" fillId="5" borderId="0" xfId="0" applyNumberFormat="1" applyFont="1" applyFill="1" applyAlignment="1">
      <alignment horizontal="right"/>
    </xf>
    <xf numFmtId="2" fontId="31" fillId="5" borderId="0" xfId="0" applyNumberFormat="1" applyFont="1" applyFill="1" applyAlignment="1">
      <alignment horizontal="right"/>
    </xf>
    <xf numFmtId="2" fontId="30" fillId="5" borderId="0" xfId="0" applyNumberFormat="1" applyFont="1" applyFill="1" applyAlignment="1">
      <alignment horizontal="right"/>
    </xf>
    <xf numFmtId="1" fontId="30" fillId="5" borderId="0" xfId="0" applyNumberFormat="1" applyFont="1" applyFill="1" applyAlignment="1">
      <alignment horizontal="right"/>
    </xf>
    <xf numFmtId="1" fontId="30" fillId="5" borderId="2" xfId="0" applyNumberFormat="1" applyFont="1" applyFill="1" applyBorder="1" applyAlignment="1">
      <alignment horizontal="right"/>
    </xf>
    <xf numFmtId="0" fontId="30" fillId="5" borderId="0" xfId="0" applyFont="1" applyFill="1"/>
    <xf numFmtId="166" fontId="30" fillId="5" borderId="0" xfId="0" applyNumberFormat="1" applyFont="1" applyFill="1"/>
    <xf numFmtId="9" fontId="30" fillId="5" borderId="0" xfId="0" applyNumberFormat="1" applyFont="1" applyFill="1"/>
    <xf numFmtId="0" fontId="30" fillId="5" borderId="15" xfId="0" applyFont="1" applyFill="1" applyBorder="1"/>
    <xf numFmtId="0" fontId="30" fillId="5" borderId="16" xfId="0" applyFont="1" applyFill="1" applyBorder="1"/>
    <xf numFmtId="166" fontId="31" fillId="5" borderId="17" xfId="0" applyNumberFormat="1" applyFont="1" applyFill="1" applyBorder="1" applyAlignment="1">
      <alignment horizontal="right"/>
    </xf>
    <xf numFmtId="2" fontId="31" fillId="5" borderId="17" xfId="0" applyNumberFormat="1" applyFont="1" applyFill="1" applyBorder="1" applyAlignment="1">
      <alignment horizontal="right"/>
    </xf>
    <xf numFmtId="2" fontId="30" fillId="5" borderId="17" xfId="0" applyNumberFormat="1" applyFont="1" applyFill="1" applyBorder="1" applyAlignment="1">
      <alignment horizontal="right"/>
    </xf>
    <xf numFmtId="1" fontId="30" fillId="5" borderId="17" xfId="0" applyNumberFormat="1" applyFont="1" applyFill="1" applyBorder="1" applyAlignment="1">
      <alignment horizontal="right"/>
    </xf>
    <xf numFmtId="1" fontId="30" fillId="5" borderId="18" xfId="0" applyNumberFormat="1" applyFont="1" applyFill="1" applyBorder="1" applyAlignment="1">
      <alignment horizontal="right"/>
    </xf>
    <xf numFmtId="0" fontId="30" fillId="5" borderId="17" xfId="0" applyFont="1" applyFill="1" applyBorder="1"/>
    <xf numFmtId="166" fontId="30" fillId="5" borderId="17" xfId="0" applyNumberFormat="1" applyFont="1" applyFill="1" applyBorder="1"/>
    <xf numFmtId="9" fontId="30" fillId="5" borderId="17" xfId="0" applyNumberFormat="1" applyFont="1" applyFill="1" applyBorder="1"/>
    <xf numFmtId="0" fontId="30" fillId="5" borderId="19" xfId="0" applyFont="1" applyFill="1" applyBorder="1"/>
    <xf numFmtId="166" fontId="30" fillId="2" borderId="0" xfId="0" applyNumberFormat="1" applyFont="1" applyFill="1"/>
    <xf numFmtId="0" fontId="32" fillId="0" borderId="0" xfId="0" applyFont="1"/>
    <xf numFmtId="0" fontId="32" fillId="2" borderId="0" xfId="0" applyFont="1" applyFill="1"/>
    <xf numFmtId="0" fontId="32" fillId="2" borderId="2" xfId="0" applyFont="1" applyFill="1" applyBorder="1"/>
    <xf numFmtId="165" fontId="25" fillId="8" borderId="0" xfId="0" applyNumberFormat="1" applyFont="1" applyFill="1" applyAlignment="1">
      <alignment horizontal="right"/>
    </xf>
    <xf numFmtId="0" fontId="29" fillId="2" borderId="0" xfId="0" applyFont="1" applyFill="1" applyAlignment="1">
      <alignment horizontal="left"/>
    </xf>
    <xf numFmtId="0" fontId="30" fillId="3" borderId="3" xfId="0" applyFont="1" applyFill="1" applyBorder="1" applyAlignment="1">
      <alignment horizontal="left"/>
    </xf>
    <xf numFmtId="166" fontId="30" fillId="3" borderId="4" xfId="0" applyNumberFormat="1" applyFont="1" applyFill="1" applyBorder="1" applyAlignment="1">
      <alignment horizontal="right"/>
    </xf>
    <xf numFmtId="1" fontId="30" fillId="3" borderId="4" xfId="0" applyNumberFormat="1" applyFont="1" applyFill="1" applyBorder="1" applyAlignment="1">
      <alignment horizontal="right"/>
    </xf>
    <xf numFmtId="1" fontId="30" fillId="3" borderId="1" xfId="0" applyNumberFormat="1" applyFont="1" applyFill="1" applyBorder="1" applyAlignment="1">
      <alignment horizontal="right"/>
    </xf>
    <xf numFmtId="2" fontId="30" fillId="3" borderId="4" xfId="0" applyNumberFormat="1" applyFont="1" applyFill="1" applyBorder="1" applyAlignment="1">
      <alignment horizontal="right"/>
    </xf>
    <xf numFmtId="0" fontId="30" fillId="3" borderId="4" xfId="0" applyFont="1" applyFill="1" applyBorder="1"/>
    <xf numFmtId="166" fontId="30" fillId="3" borderId="4" xfId="0" applyNumberFormat="1" applyFont="1" applyFill="1" applyBorder="1"/>
    <xf numFmtId="9" fontId="30" fillId="3" borderId="4" xfId="0" applyNumberFormat="1" applyFont="1" applyFill="1" applyBorder="1"/>
    <xf numFmtId="0" fontId="30" fillId="3" borderId="5" xfId="0" applyFont="1" applyFill="1" applyBorder="1"/>
    <xf numFmtId="0" fontId="30" fillId="3" borderId="6" xfId="0" applyFont="1" applyFill="1" applyBorder="1" applyAlignment="1">
      <alignment horizontal="left"/>
    </xf>
    <xf numFmtId="166" fontId="30" fillId="3" borderId="7" xfId="0" applyNumberFormat="1" applyFont="1" applyFill="1" applyBorder="1" applyAlignment="1">
      <alignment horizontal="right"/>
    </xf>
    <xf numFmtId="1" fontId="30" fillId="3" borderId="7" xfId="0" applyNumberFormat="1" applyFont="1" applyFill="1" applyBorder="1" applyAlignment="1">
      <alignment horizontal="right"/>
    </xf>
    <xf numFmtId="1" fontId="30" fillId="3" borderId="8" xfId="0" applyNumberFormat="1" applyFont="1" applyFill="1" applyBorder="1" applyAlignment="1">
      <alignment horizontal="right"/>
    </xf>
    <xf numFmtId="2" fontId="30" fillId="3" borderId="7" xfId="0" applyNumberFormat="1" applyFont="1" applyFill="1" applyBorder="1" applyAlignment="1">
      <alignment horizontal="right"/>
    </xf>
    <xf numFmtId="0" fontId="30" fillId="3" borderId="7" xfId="0" applyFont="1" applyFill="1" applyBorder="1"/>
    <xf numFmtId="166" fontId="30" fillId="3" borderId="7" xfId="0" applyNumberFormat="1" applyFont="1" applyFill="1" applyBorder="1"/>
    <xf numFmtId="9" fontId="30" fillId="3" borderId="7" xfId="0" applyNumberFormat="1" applyFont="1" applyFill="1" applyBorder="1"/>
    <xf numFmtId="0" fontId="30" fillId="3" borderId="9" xfId="0" applyFont="1" applyFill="1" applyBorder="1"/>
    <xf numFmtId="0" fontId="30" fillId="13" borderId="0" xfId="0" applyFont="1" applyFill="1" applyAlignment="1">
      <alignment horizontal="left"/>
    </xf>
    <xf numFmtId="166" fontId="30" fillId="13" borderId="0" xfId="0" applyNumberFormat="1" applyFont="1" applyFill="1" applyAlignment="1">
      <alignment horizontal="right"/>
    </xf>
    <xf numFmtId="1" fontId="30" fillId="13" borderId="0" xfId="0" applyNumberFormat="1" applyFont="1" applyFill="1" applyAlignment="1">
      <alignment horizontal="right"/>
    </xf>
    <xf numFmtId="2" fontId="30" fillId="13" borderId="0" xfId="0" applyNumberFormat="1" applyFont="1" applyFill="1" applyAlignment="1">
      <alignment horizontal="right"/>
    </xf>
    <xf numFmtId="2" fontId="31" fillId="13" borderId="0" xfId="0" applyNumberFormat="1" applyFont="1" applyFill="1" applyAlignment="1">
      <alignment horizontal="right"/>
    </xf>
    <xf numFmtId="1" fontId="30" fillId="13" borderId="2" xfId="0" applyNumberFormat="1" applyFont="1" applyFill="1" applyBorder="1" applyAlignment="1">
      <alignment horizontal="right"/>
    </xf>
    <xf numFmtId="1" fontId="31" fillId="13" borderId="0" xfId="0" applyNumberFormat="1" applyFont="1" applyFill="1" applyAlignment="1">
      <alignment horizontal="right"/>
    </xf>
    <xf numFmtId="0" fontId="30" fillId="13" borderId="0" xfId="0" applyFont="1" applyFill="1"/>
    <xf numFmtId="166" fontId="30" fillId="13" borderId="0" xfId="0" applyNumberFormat="1" applyFont="1" applyFill="1"/>
    <xf numFmtId="9" fontId="30" fillId="13" borderId="0" xfId="0" applyNumberFormat="1" applyFont="1" applyFill="1"/>
    <xf numFmtId="0" fontId="30" fillId="5" borderId="0" xfId="0" applyFont="1" applyFill="1" applyAlignment="1">
      <alignment horizontal="left"/>
    </xf>
    <xf numFmtId="0" fontId="30" fillId="6" borderId="0" xfId="0" applyFont="1" applyFill="1" applyAlignment="1">
      <alignment horizontal="left"/>
    </xf>
    <xf numFmtId="0" fontId="30" fillId="7" borderId="0" xfId="0" applyFont="1" applyFill="1" applyAlignment="1">
      <alignment horizontal="left"/>
    </xf>
    <xf numFmtId="167" fontId="30" fillId="6" borderId="0" xfId="0" applyNumberFormat="1" applyFont="1" applyFill="1" applyAlignment="1">
      <alignment horizontal="right"/>
    </xf>
    <xf numFmtId="167" fontId="31" fillId="5" borderId="0" xfId="0" applyNumberFormat="1" applyFont="1" applyFill="1" applyAlignment="1">
      <alignment horizontal="right"/>
    </xf>
    <xf numFmtId="167" fontId="30" fillId="5" borderId="0" xfId="0" applyNumberFormat="1" applyFont="1" applyFill="1" applyAlignment="1">
      <alignment horizontal="right"/>
    </xf>
    <xf numFmtId="0" fontId="30" fillId="4" borderId="0" xfId="0" applyFont="1" applyFill="1" applyAlignment="1">
      <alignment horizontal="left"/>
    </xf>
    <xf numFmtId="2" fontId="31" fillId="5" borderId="0" xfId="1" applyNumberFormat="1" applyFont="1" applyFill="1" applyAlignment="1">
      <alignment horizontal="right"/>
    </xf>
    <xf numFmtId="2" fontId="30" fillId="5" borderId="0" xfId="1" applyNumberFormat="1" applyFont="1" applyFill="1" applyAlignment="1">
      <alignment horizontal="right"/>
    </xf>
    <xf numFmtId="1" fontId="30" fillId="5" borderId="0" xfId="1" applyNumberFormat="1" applyFont="1" applyFill="1" applyAlignment="1">
      <alignment horizontal="right"/>
    </xf>
    <xf numFmtId="1" fontId="30" fillId="5" borderId="2" xfId="1" applyNumberFormat="1" applyFont="1" applyFill="1" applyBorder="1" applyAlignment="1">
      <alignment horizontal="right"/>
    </xf>
    <xf numFmtId="0" fontId="30" fillId="5" borderId="0" xfId="1" applyFont="1" applyFill="1"/>
    <xf numFmtId="166" fontId="30" fillId="5" borderId="0" xfId="1" applyNumberFormat="1" applyFont="1" applyFill="1"/>
    <xf numFmtId="9" fontId="30" fillId="5" borderId="0" xfId="1" applyNumberFormat="1" applyFont="1" applyFill="1"/>
    <xf numFmtId="1" fontId="30" fillId="6" borderId="0" xfId="1" applyNumberFormat="1" applyFont="1" applyFill="1" applyAlignment="1">
      <alignment horizontal="right"/>
    </xf>
    <xf numFmtId="2" fontId="30" fillId="6" borderId="0" xfId="1" applyNumberFormat="1" applyFont="1" applyFill="1" applyAlignment="1">
      <alignment horizontal="right"/>
    </xf>
    <xf numFmtId="1" fontId="30" fillId="6" borderId="2" xfId="1" applyNumberFormat="1" applyFont="1" applyFill="1" applyBorder="1" applyAlignment="1">
      <alignment horizontal="right"/>
    </xf>
    <xf numFmtId="2" fontId="31" fillId="6" borderId="0" xfId="1" applyNumberFormat="1" applyFont="1" applyFill="1" applyAlignment="1">
      <alignment horizontal="right"/>
    </xf>
    <xf numFmtId="166" fontId="30" fillId="6" borderId="0" xfId="1" applyNumberFormat="1" applyFont="1" applyFill="1" applyAlignment="1">
      <alignment horizontal="right"/>
    </xf>
    <xf numFmtId="0" fontId="30" fillId="6" borderId="0" xfId="1" applyFont="1" applyFill="1"/>
    <xf numFmtId="166" fontId="30" fillId="6" borderId="0" xfId="1" applyNumberFormat="1" applyFont="1" applyFill="1"/>
    <xf numFmtId="9" fontId="30" fillId="6" borderId="0" xfId="1" applyNumberFormat="1" applyFont="1" applyFill="1"/>
    <xf numFmtId="1" fontId="30" fillId="7" borderId="0" xfId="1" applyNumberFormat="1" applyFont="1" applyFill="1" applyAlignment="1">
      <alignment horizontal="right"/>
    </xf>
    <xf numFmtId="1" fontId="30" fillId="7" borderId="2" xfId="1" applyNumberFormat="1" applyFont="1" applyFill="1" applyBorder="1" applyAlignment="1">
      <alignment horizontal="right"/>
    </xf>
    <xf numFmtId="166" fontId="30" fillId="7" borderId="0" xfId="1" applyNumberFormat="1" applyFont="1" applyFill="1" applyAlignment="1">
      <alignment horizontal="right"/>
    </xf>
    <xf numFmtId="2" fontId="31" fillId="7" borderId="0" xfId="1" applyNumberFormat="1" applyFont="1" applyFill="1" applyAlignment="1">
      <alignment horizontal="right"/>
    </xf>
    <xf numFmtId="2" fontId="30" fillId="7" borderId="0" xfId="1" applyNumberFormat="1" applyFont="1" applyFill="1" applyAlignment="1">
      <alignment horizontal="right"/>
    </xf>
    <xf numFmtId="0" fontId="30" fillId="7" borderId="0" xfId="1" applyFont="1" applyFill="1"/>
    <xf numFmtId="166" fontId="30" fillId="7" borderId="0" xfId="1" applyNumberFormat="1" applyFont="1" applyFill="1"/>
    <xf numFmtId="9" fontId="30" fillId="7" borderId="0" xfId="1" applyNumberFormat="1" applyFont="1" applyFill="1"/>
    <xf numFmtId="0" fontId="29" fillId="2" borderId="0" xfId="2" applyFont="1"/>
    <xf numFmtId="0" fontId="30" fillId="2" borderId="0" xfId="2" applyFont="1"/>
    <xf numFmtId="0" fontId="23" fillId="2" borderId="0" xfId="2"/>
    <xf numFmtId="0" fontId="29" fillId="2" borderId="0" xfId="2" applyFont="1" applyAlignment="1">
      <alignment horizontal="left"/>
    </xf>
    <xf numFmtId="164" fontId="30" fillId="2" borderId="0" xfId="2" applyNumberFormat="1" applyFont="1"/>
    <xf numFmtId="165" fontId="30" fillId="2" borderId="0" xfId="2" applyNumberFormat="1" applyFont="1"/>
    <xf numFmtId="0" fontId="30" fillId="2" borderId="0" xfId="2" applyFont="1" applyAlignment="1">
      <alignment horizontal="left"/>
    </xf>
    <xf numFmtId="0" fontId="30" fillId="2" borderId="0" xfId="2" applyFont="1" applyAlignment="1">
      <alignment horizontal="right"/>
    </xf>
    <xf numFmtId="0" fontId="30" fillId="2" borderId="1" xfId="2" applyFont="1" applyBorder="1" applyAlignment="1">
      <alignment horizontal="right"/>
    </xf>
    <xf numFmtId="0" fontId="30" fillId="2" borderId="2" xfId="2" applyFont="1" applyBorder="1"/>
    <xf numFmtId="0" fontId="30" fillId="2" borderId="2" xfId="2" applyFont="1" applyBorder="1" applyAlignment="1">
      <alignment horizontal="right"/>
    </xf>
    <xf numFmtId="0" fontId="23" fillId="2" borderId="2" xfId="2" applyBorder="1"/>
    <xf numFmtId="2" fontId="30" fillId="2" borderId="0" xfId="2" applyNumberFormat="1" applyFont="1"/>
    <xf numFmtId="1" fontId="30" fillId="13" borderId="8" xfId="2" applyNumberFormat="1" applyFont="1" applyFill="1" applyBorder="1" applyAlignment="1">
      <alignment horizontal="right"/>
    </xf>
    <xf numFmtId="0" fontId="30" fillId="5" borderId="0" xfId="2" applyFont="1" applyFill="1" applyAlignment="1">
      <alignment horizontal="left"/>
    </xf>
    <xf numFmtId="2" fontId="31" fillId="5" borderId="0" xfId="2" applyNumberFormat="1" applyFont="1" applyFill="1" applyAlignment="1">
      <alignment horizontal="right"/>
    </xf>
    <xf numFmtId="2" fontId="30" fillId="5" borderId="0" xfId="2" applyNumberFormat="1" applyFont="1" applyFill="1" applyAlignment="1">
      <alignment horizontal="right"/>
    </xf>
    <xf numFmtId="1" fontId="30" fillId="5" borderId="0" xfId="2" applyNumberFormat="1" applyFont="1" applyFill="1" applyAlignment="1">
      <alignment horizontal="right"/>
    </xf>
    <xf numFmtId="1" fontId="30" fillId="5" borderId="2" xfId="2" applyNumberFormat="1" applyFont="1" applyFill="1" applyBorder="1" applyAlignment="1">
      <alignment horizontal="right"/>
    </xf>
    <xf numFmtId="0" fontId="30" fillId="5" borderId="0" xfId="2" applyFont="1" applyFill="1"/>
    <xf numFmtId="166" fontId="30" fillId="5" borderId="0" xfId="2" applyNumberFormat="1" applyFont="1" applyFill="1"/>
    <xf numFmtId="9" fontId="30" fillId="5" borderId="0" xfId="2" applyNumberFormat="1" applyFont="1" applyFill="1"/>
    <xf numFmtId="0" fontId="30" fillId="7" borderId="0" xfId="2" applyFont="1" applyFill="1" applyAlignment="1">
      <alignment horizontal="left"/>
    </xf>
    <xf numFmtId="1" fontId="30" fillId="7" borderId="0" xfId="2" applyNumberFormat="1" applyFont="1" applyFill="1" applyAlignment="1">
      <alignment horizontal="right"/>
    </xf>
    <xf numFmtId="1" fontId="30" fillId="7" borderId="2" xfId="2" applyNumberFormat="1" applyFont="1" applyFill="1" applyBorder="1" applyAlignment="1">
      <alignment horizontal="right"/>
    </xf>
    <xf numFmtId="166" fontId="30" fillId="7" borderId="0" xfId="2" applyNumberFormat="1" applyFont="1" applyFill="1" applyAlignment="1">
      <alignment horizontal="right"/>
    </xf>
    <xf numFmtId="2" fontId="31" fillId="7" borderId="0" xfId="2" applyNumberFormat="1" applyFont="1" applyFill="1" applyAlignment="1">
      <alignment horizontal="right"/>
    </xf>
    <xf numFmtId="2" fontId="30" fillId="7" borderId="0" xfId="2" applyNumberFormat="1" applyFont="1" applyFill="1" applyAlignment="1">
      <alignment horizontal="right"/>
    </xf>
    <xf numFmtId="0" fontId="30" fillId="7" borderId="0" xfId="2" applyFont="1" applyFill="1"/>
    <xf numFmtId="166" fontId="30" fillId="7" borderId="0" xfId="2" applyNumberFormat="1" applyFont="1" applyFill="1"/>
    <xf numFmtId="9" fontId="30" fillId="7" borderId="0" xfId="2" applyNumberFormat="1" applyFont="1" applyFill="1"/>
    <xf numFmtId="1" fontId="31" fillId="5" borderId="0" xfId="2" applyNumberFormat="1" applyFont="1" applyFill="1" applyAlignment="1">
      <alignment horizontal="right"/>
    </xf>
    <xf numFmtId="167" fontId="31" fillId="5" borderId="0" xfId="2" applyNumberFormat="1" applyFont="1" applyFill="1" applyAlignment="1">
      <alignment horizontal="right"/>
    </xf>
    <xf numFmtId="1" fontId="30" fillId="3" borderId="8" xfId="2" applyNumberFormat="1" applyFont="1" applyFill="1" applyBorder="1" applyAlignment="1">
      <alignment horizontal="right"/>
    </xf>
    <xf numFmtId="166" fontId="30" fillId="2" borderId="0" xfId="2" applyNumberFormat="1" applyFont="1"/>
    <xf numFmtId="1" fontId="30" fillId="2" borderId="0" xfId="2" applyNumberFormat="1" applyFont="1"/>
    <xf numFmtId="166" fontId="30" fillId="5" borderId="0" xfId="0" applyNumberFormat="1" applyFont="1" applyFill="1" applyAlignment="1">
      <alignment horizontal="right"/>
    </xf>
    <xf numFmtId="1" fontId="31" fillId="5" borderId="0" xfId="0" applyNumberFormat="1" applyFont="1" applyFill="1" applyAlignment="1">
      <alignment horizontal="right"/>
    </xf>
    <xf numFmtId="1" fontId="31" fillId="3" borderId="4" xfId="0" applyNumberFormat="1" applyFont="1" applyFill="1" applyBorder="1" applyAlignment="1">
      <alignment horizontal="right"/>
    </xf>
    <xf numFmtId="1" fontId="31" fillId="3" borderId="7" xfId="0" applyNumberFormat="1" applyFont="1" applyFill="1" applyBorder="1" applyAlignment="1">
      <alignment horizontal="right"/>
    </xf>
    <xf numFmtId="1" fontId="31" fillId="4" borderId="0" xfId="0" applyNumberFormat="1" applyFont="1" applyFill="1" applyAlignment="1">
      <alignment horizontal="right"/>
    </xf>
    <xf numFmtId="166" fontId="31" fillId="6" borderId="0" xfId="0" applyNumberFormat="1" applyFont="1" applyFill="1" applyAlignment="1">
      <alignment horizontal="right"/>
    </xf>
    <xf numFmtId="166" fontId="31" fillId="3" borderId="4" xfId="0" applyNumberFormat="1" applyFont="1" applyFill="1" applyBorder="1" applyAlignment="1">
      <alignment horizontal="right"/>
    </xf>
    <xf numFmtId="166" fontId="31" fillId="3" borderId="7" xfId="0" applyNumberFormat="1" applyFont="1" applyFill="1" applyBorder="1" applyAlignment="1">
      <alignment horizontal="right"/>
    </xf>
    <xf numFmtId="167" fontId="30" fillId="13" borderId="0" xfId="0" applyNumberFormat="1" applyFont="1" applyFill="1" applyAlignment="1">
      <alignment horizontal="right"/>
    </xf>
    <xf numFmtId="0" fontId="30" fillId="13" borderId="3" xfId="0" applyFont="1" applyFill="1" applyBorder="1" applyAlignment="1">
      <alignment horizontal="left"/>
    </xf>
    <xf numFmtId="2" fontId="31" fillId="13" borderId="4" xfId="0" applyNumberFormat="1" applyFont="1" applyFill="1" applyBorder="1" applyAlignment="1">
      <alignment horizontal="right"/>
    </xf>
    <xf numFmtId="1" fontId="31" fillId="13" borderId="4" xfId="0" applyNumberFormat="1" applyFont="1" applyFill="1" applyBorder="1" applyAlignment="1">
      <alignment horizontal="right"/>
    </xf>
    <xf numFmtId="0" fontId="30" fillId="13" borderId="6" xfId="0" applyFont="1" applyFill="1" applyBorder="1" applyAlignment="1">
      <alignment horizontal="left"/>
    </xf>
    <xf numFmtId="2" fontId="31" fillId="13" borderId="7" xfId="0" applyNumberFormat="1" applyFont="1" applyFill="1" applyBorder="1" applyAlignment="1">
      <alignment horizontal="right"/>
    </xf>
    <xf numFmtId="1" fontId="31" fillId="13" borderId="7" xfId="0" applyNumberFormat="1" applyFont="1" applyFill="1" applyBorder="1" applyAlignment="1">
      <alignment horizontal="right"/>
    </xf>
    <xf numFmtId="0" fontId="30" fillId="3" borderId="0" xfId="0" applyFont="1" applyFill="1" applyAlignment="1">
      <alignment horizontal="left"/>
    </xf>
    <xf numFmtId="167" fontId="30" fillId="4" borderId="0" xfId="0" applyNumberFormat="1" applyFont="1" applyFill="1" applyAlignment="1">
      <alignment horizontal="right"/>
    </xf>
    <xf numFmtId="0" fontId="30" fillId="5" borderId="10" xfId="0" applyFont="1" applyFill="1" applyBorder="1" applyAlignment="1">
      <alignment horizontal="left"/>
    </xf>
    <xf numFmtId="166" fontId="30" fillId="5" borderId="11" xfId="0" applyNumberFormat="1" applyFont="1" applyFill="1" applyBorder="1" applyAlignment="1">
      <alignment horizontal="right"/>
    </xf>
    <xf numFmtId="0" fontId="30" fillId="6" borderId="14" xfId="0" applyFont="1" applyFill="1" applyBorder="1" applyAlignment="1">
      <alignment horizontal="left"/>
    </xf>
    <xf numFmtId="2" fontId="34" fillId="6" borderId="0" xfId="0" applyNumberFormat="1" applyFont="1" applyFill="1" applyAlignment="1">
      <alignment horizontal="right"/>
    </xf>
    <xf numFmtId="0" fontId="30" fillId="5" borderId="14" xfId="0" applyFont="1" applyFill="1" applyBorder="1" applyAlignment="1">
      <alignment horizontal="left"/>
    </xf>
    <xf numFmtId="0" fontId="30" fillId="7" borderId="14" xfId="0" applyFont="1" applyFill="1" applyBorder="1" applyAlignment="1">
      <alignment horizontal="left"/>
    </xf>
    <xf numFmtId="0" fontId="30" fillId="6" borderId="16" xfId="0" applyFont="1" applyFill="1" applyBorder="1" applyAlignment="1">
      <alignment horizontal="left"/>
    </xf>
    <xf numFmtId="1" fontId="30" fillId="6" borderId="17" xfId="0" applyNumberFormat="1" applyFont="1" applyFill="1" applyBorder="1" applyAlignment="1">
      <alignment horizontal="right"/>
    </xf>
    <xf numFmtId="1" fontId="30" fillId="6" borderId="18" xfId="0" applyNumberFormat="1" applyFont="1" applyFill="1" applyBorder="1" applyAlignment="1">
      <alignment horizontal="right"/>
    </xf>
    <xf numFmtId="2" fontId="30" fillId="6" borderId="17" xfId="0" applyNumberFormat="1" applyFont="1" applyFill="1" applyBorder="1" applyAlignment="1">
      <alignment horizontal="right"/>
    </xf>
    <xf numFmtId="2" fontId="31" fillId="6" borderId="17" xfId="0" applyNumberFormat="1" applyFont="1" applyFill="1" applyBorder="1" applyAlignment="1">
      <alignment horizontal="right"/>
    </xf>
    <xf numFmtId="166" fontId="30" fillId="6" borderId="17" xfId="0" applyNumberFormat="1" applyFont="1" applyFill="1" applyBorder="1" applyAlignment="1">
      <alignment horizontal="right"/>
    </xf>
    <xf numFmtId="0" fontId="30" fillId="6" borderId="17" xfId="0" applyFont="1" applyFill="1" applyBorder="1"/>
    <xf numFmtId="166" fontId="30" fillId="6" borderId="17" xfId="0" applyNumberFormat="1" applyFont="1" applyFill="1" applyBorder="1"/>
    <xf numFmtId="9" fontId="30" fillId="6" borderId="17" xfId="0" applyNumberFormat="1" applyFont="1" applyFill="1" applyBorder="1"/>
    <xf numFmtId="0" fontId="30" fillId="6" borderId="19" xfId="0" applyFont="1" applyFill="1" applyBorder="1"/>
    <xf numFmtId="167" fontId="30" fillId="13" borderId="4" xfId="0" applyNumberFormat="1" applyFont="1" applyFill="1" applyBorder="1" applyAlignment="1">
      <alignment horizontal="right"/>
    </xf>
    <xf numFmtId="167" fontId="30" fillId="13" borderId="7" xfId="0" applyNumberFormat="1" applyFont="1" applyFill="1" applyBorder="1" applyAlignment="1">
      <alignment horizontal="right"/>
    </xf>
    <xf numFmtId="0" fontId="26" fillId="0" borderId="0" xfId="3"/>
    <xf numFmtId="0" fontId="22" fillId="2" borderId="0" xfId="3" applyFont="1" applyFill="1"/>
    <xf numFmtId="166" fontId="22" fillId="2" borderId="0" xfId="3" applyNumberFormat="1" applyFont="1" applyFill="1"/>
    <xf numFmtId="0" fontId="22" fillId="2" borderId="0" xfId="3" applyFont="1" applyFill="1" applyAlignment="1">
      <alignment horizontal="left"/>
    </xf>
    <xf numFmtId="2" fontId="22" fillId="2" borderId="0" xfId="3" applyNumberFormat="1" applyFont="1" applyFill="1"/>
    <xf numFmtId="1" fontId="22" fillId="2" borderId="0" xfId="3" applyNumberFormat="1" applyFont="1" applyFill="1"/>
    <xf numFmtId="2" fontId="22" fillId="13" borderId="0" xfId="3" applyNumberFormat="1" applyFont="1" applyFill="1"/>
    <xf numFmtId="166" fontId="22" fillId="13" borderId="0" xfId="3" applyNumberFormat="1" applyFont="1" applyFill="1"/>
    <xf numFmtId="1" fontId="22" fillId="13" borderId="0" xfId="3" applyNumberFormat="1" applyFont="1" applyFill="1"/>
    <xf numFmtId="0" fontId="22" fillId="13" borderId="0" xfId="3" applyFont="1" applyFill="1" applyAlignment="1">
      <alignment horizontal="left"/>
    </xf>
    <xf numFmtId="0" fontId="22" fillId="3" borderId="9" xfId="3" applyFont="1" applyFill="1" applyBorder="1"/>
    <xf numFmtId="0" fontId="22" fillId="3" borderId="7" xfId="3" applyFont="1" applyFill="1" applyBorder="1"/>
    <xf numFmtId="9" fontId="22" fillId="3" borderId="7" xfId="3" applyNumberFormat="1" applyFont="1" applyFill="1" applyBorder="1"/>
    <xf numFmtId="166" fontId="22" fillId="3" borderId="7" xfId="3" applyNumberFormat="1" applyFont="1" applyFill="1" applyBorder="1"/>
    <xf numFmtId="2" fontId="22" fillId="3" borderId="7" xfId="3" applyNumberFormat="1" applyFont="1" applyFill="1" applyBorder="1" applyAlignment="1">
      <alignment horizontal="right"/>
    </xf>
    <xf numFmtId="1" fontId="22" fillId="3" borderId="7" xfId="3" applyNumberFormat="1" applyFont="1" applyFill="1" applyBorder="1" applyAlignment="1">
      <alignment horizontal="right"/>
    </xf>
    <xf numFmtId="166" fontId="22" fillId="3" borderId="7" xfId="3" applyNumberFormat="1" applyFont="1" applyFill="1" applyBorder="1" applyAlignment="1">
      <alignment horizontal="right"/>
    </xf>
    <xf numFmtId="2" fontId="19" fillId="3" borderId="7" xfId="3" applyNumberFormat="1" applyFont="1" applyFill="1" applyBorder="1" applyAlignment="1">
      <alignment horizontal="right"/>
    </xf>
    <xf numFmtId="1" fontId="22" fillId="3" borderId="8" xfId="3" applyNumberFormat="1" applyFont="1" applyFill="1" applyBorder="1" applyAlignment="1">
      <alignment horizontal="right"/>
    </xf>
    <xf numFmtId="0" fontId="22" fillId="3" borderId="6" xfId="3" applyFont="1" applyFill="1" applyBorder="1" applyAlignment="1">
      <alignment horizontal="left"/>
    </xf>
    <xf numFmtId="0" fontId="22" fillId="3" borderId="5" xfId="3" applyFont="1" applyFill="1" applyBorder="1"/>
    <xf numFmtId="0" fontId="22" fillId="3" borderId="4" xfId="3" applyFont="1" applyFill="1" applyBorder="1"/>
    <xf numFmtId="9" fontId="22" fillId="3" borderId="4" xfId="3" applyNumberFormat="1" applyFont="1" applyFill="1" applyBorder="1"/>
    <xf numFmtId="166" fontId="22" fillId="3" borderId="4" xfId="3" applyNumberFormat="1" applyFont="1" applyFill="1" applyBorder="1"/>
    <xf numFmtId="2" fontId="22" fillId="3" borderId="4" xfId="3" applyNumberFormat="1" applyFont="1" applyFill="1" applyBorder="1" applyAlignment="1">
      <alignment horizontal="right"/>
    </xf>
    <xf numFmtId="2" fontId="19" fillId="3" borderId="4" xfId="3" applyNumberFormat="1" applyFont="1" applyFill="1" applyBorder="1" applyAlignment="1">
      <alignment horizontal="right"/>
    </xf>
    <xf numFmtId="1" fontId="22" fillId="3" borderId="4" xfId="3" applyNumberFormat="1" applyFont="1" applyFill="1" applyBorder="1" applyAlignment="1">
      <alignment horizontal="right"/>
    </xf>
    <xf numFmtId="166" fontId="22" fillId="3" borderId="4" xfId="3" applyNumberFormat="1" applyFont="1" applyFill="1" applyBorder="1" applyAlignment="1">
      <alignment horizontal="right"/>
    </xf>
    <xf numFmtId="1" fontId="22" fillId="3" borderId="1" xfId="3" applyNumberFormat="1" applyFont="1" applyFill="1" applyBorder="1" applyAlignment="1">
      <alignment horizontal="right"/>
    </xf>
    <xf numFmtId="0" fontId="22" fillId="3" borderId="3" xfId="3" applyFont="1" applyFill="1" applyBorder="1" applyAlignment="1">
      <alignment horizontal="left"/>
    </xf>
    <xf numFmtId="0" fontId="22" fillId="13" borderId="0" xfId="3" applyFont="1" applyFill="1"/>
    <xf numFmtId="9" fontId="22" fillId="13" borderId="0" xfId="3" applyNumberFormat="1" applyFont="1" applyFill="1"/>
    <xf numFmtId="2" fontId="22" fillId="13" borderId="0" xfId="3" applyNumberFormat="1" applyFont="1" applyFill="1" applyAlignment="1">
      <alignment horizontal="right"/>
    </xf>
    <xf numFmtId="1" fontId="22" fillId="13" borderId="0" xfId="3" applyNumberFormat="1" applyFont="1" applyFill="1" applyAlignment="1">
      <alignment horizontal="right"/>
    </xf>
    <xf numFmtId="166" fontId="22" fillId="13" borderId="0" xfId="3" applyNumberFormat="1" applyFont="1" applyFill="1" applyAlignment="1">
      <alignment horizontal="right"/>
    </xf>
    <xf numFmtId="2" fontId="19" fillId="13" borderId="0" xfId="3" applyNumberFormat="1" applyFont="1" applyFill="1" applyAlignment="1">
      <alignment horizontal="right"/>
    </xf>
    <xf numFmtId="1" fontId="22" fillId="13" borderId="2" xfId="3" applyNumberFormat="1" applyFont="1" applyFill="1" applyBorder="1" applyAlignment="1">
      <alignment horizontal="right"/>
    </xf>
    <xf numFmtId="0" fontId="35" fillId="6" borderId="19" xfId="3" applyFont="1" applyFill="1" applyBorder="1"/>
    <xf numFmtId="0" fontId="35" fillId="6" borderId="17" xfId="3" applyFont="1" applyFill="1" applyBorder="1"/>
    <xf numFmtId="9" fontId="35" fillId="6" borderId="17" xfId="3" applyNumberFormat="1" applyFont="1" applyFill="1" applyBorder="1"/>
    <xf numFmtId="166" fontId="35" fillId="6" borderId="17" xfId="3" applyNumberFormat="1" applyFont="1" applyFill="1" applyBorder="1"/>
    <xf numFmtId="2" fontId="35" fillId="6" borderId="17" xfId="3" applyNumberFormat="1" applyFont="1" applyFill="1" applyBorder="1" applyAlignment="1">
      <alignment horizontal="right"/>
    </xf>
    <xf numFmtId="166" fontId="35" fillId="6" borderId="17" xfId="3" applyNumberFormat="1" applyFont="1" applyFill="1" applyBorder="1" applyAlignment="1">
      <alignment horizontal="right"/>
    </xf>
    <xf numFmtId="1" fontId="35" fillId="6" borderId="17" xfId="3" applyNumberFormat="1" applyFont="1" applyFill="1" applyBorder="1" applyAlignment="1">
      <alignment horizontal="right"/>
    </xf>
    <xf numFmtId="2" fontId="36" fillId="6" borderId="17" xfId="3" applyNumberFormat="1" applyFont="1" applyFill="1" applyBorder="1" applyAlignment="1">
      <alignment horizontal="right"/>
    </xf>
    <xf numFmtId="1" fontId="35" fillId="6" borderId="18" xfId="3" applyNumberFormat="1" applyFont="1" applyFill="1" applyBorder="1" applyAlignment="1">
      <alignment horizontal="right"/>
    </xf>
    <xf numFmtId="0" fontId="35" fillId="6" borderId="16" xfId="3" applyFont="1" applyFill="1" applyBorder="1" applyAlignment="1">
      <alignment horizontal="left"/>
    </xf>
    <xf numFmtId="0" fontId="35" fillId="6" borderId="15" xfId="3" applyFont="1" applyFill="1" applyBorder="1"/>
    <xf numFmtId="0" fontId="35" fillId="6" borderId="0" xfId="3" applyFont="1" applyFill="1"/>
    <xf numFmtId="9" fontId="35" fillId="6" borderId="0" xfId="3" applyNumberFormat="1" applyFont="1" applyFill="1"/>
    <xf numFmtId="166" fontId="35" fillId="6" borderId="0" xfId="3" applyNumberFormat="1" applyFont="1" applyFill="1"/>
    <xf numFmtId="2" fontId="35" fillId="6" borderId="0" xfId="3" applyNumberFormat="1" applyFont="1" applyFill="1" applyAlignment="1">
      <alignment horizontal="right"/>
    </xf>
    <xf numFmtId="2" fontId="36" fillId="6" borderId="0" xfId="3" applyNumberFormat="1" applyFont="1" applyFill="1" applyAlignment="1">
      <alignment horizontal="right"/>
    </xf>
    <xf numFmtId="166" fontId="35" fillId="6" borderId="0" xfId="3" applyNumberFormat="1" applyFont="1" applyFill="1" applyAlignment="1">
      <alignment horizontal="right"/>
    </xf>
    <xf numFmtId="1" fontId="35" fillId="6" borderId="0" xfId="3" applyNumberFormat="1" applyFont="1" applyFill="1" applyAlignment="1">
      <alignment horizontal="right"/>
    </xf>
    <xf numFmtId="1" fontId="35" fillId="6" borderId="2" xfId="3" applyNumberFormat="1" applyFont="1" applyFill="1" applyBorder="1" applyAlignment="1">
      <alignment horizontal="right"/>
    </xf>
    <xf numFmtId="0" fontId="35" fillId="6" borderId="14" xfId="3" applyFont="1" applyFill="1" applyBorder="1" applyAlignment="1">
      <alignment horizontal="left"/>
    </xf>
    <xf numFmtId="167" fontId="35" fillId="6" borderId="0" xfId="3" applyNumberFormat="1" applyFont="1" applyFill="1" applyAlignment="1">
      <alignment horizontal="right"/>
    </xf>
    <xf numFmtId="9" fontId="22" fillId="2" borderId="0" xfId="3" applyNumberFormat="1" applyFont="1" applyFill="1"/>
    <xf numFmtId="2" fontId="22" fillId="2" borderId="0" xfId="3" applyNumberFormat="1" applyFont="1" applyFill="1" applyAlignment="1">
      <alignment horizontal="right"/>
    </xf>
    <xf numFmtId="1" fontId="22" fillId="2" borderId="0" xfId="3" applyNumberFormat="1" applyFont="1" applyFill="1" applyAlignment="1">
      <alignment horizontal="right"/>
    </xf>
    <xf numFmtId="166" fontId="22" fillId="2" borderId="0" xfId="3" applyNumberFormat="1" applyFont="1" applyFill="1" applyAlignment="1">
      <alignment horizontal="right"/>
    </xf>
    <xf numFmtId="2" fontId="19" fillId="2" borderId="0" xfId="3" applyNumberFormat="1" applyFont="1" applyFill="1" applyAlignment="1">
      <alignment horizontal="right"/>
    </xf>
    <xf numFmtId="1" fontId="22" fillId="2" borderId="2" xfId="3" applyNumberFormat="1" applyFont="1" applyFill="1" applyBorder="1" applyAlignment="1">
      <alignment horizontal="right"/>
    </xf>
    <xf numFmtId="0" fontId="22" fillId="2" borderId="2" xfId="3" applyFont="1" applyFill="1" applyBorder="1"/>
    <xf numFmtId="2" fontId="22" fillId="2" borderId="2" xfId="3" applyNumberFormat="1" applyFont="1" applyFill="1" applyBorder="1"/>
    <xf numFmtId="1" fontId="22" fillId="2" borderId="2" xfId="3" applyNumberFormat="1" applyFont="1" applyFill="1" applyBorder="1"/>
    <xf numFmtId="0" fontId="26" fillId="2" borderId="0" xfId="3" applyFill="1"/>
    <xf numFmtId="0" fontId="26" fillId="2" borderId="2" xfId="3" applyFill="1" applyBorder="1"/>
    <xf numFmtId="0" fontId="22" fillId="2" borderId="0" xfId="3" applyFont="1" applyFill="1" applyAlignment="1">
      <alignment horizontal="right"/>
    </xf>
    <xf numFmtId="0" fontId="22" fillId="2" borderId="2" xfId="3" applyFont="1" applyFill="1" applyBorder="1" applyAlignment="1">
      <alignment horizontal="right"/>
    </xf>
    <xf numFmtId="0" fontId="22" fillId="2" borderId="1" xfId="3" applyFont="1" applyFill="1" applyBorder="1" applyAlignment="1">
      <alignment horizontal="right"/>
    </xf>
    <xf numFmtId="165" fontId="22" fillId="2" borderId="0" xfId="3" applyNumberFormat="1" applyFont="1" applyFill="1"/>
    <xf numFmtId="164" fontId="22" fillId="2" borderId="0" xfId="3" applyNumberFormat="1" applyFont="1" applyFill="1"/>
    <xf numFmtId="0" fontId="21" fillId="2" borderId="0" xfId="3" applyFont="1" applyFill="1" applyAlignment="1">
      <alignment horizontal="left"/>
    </xf>
    <xf numFmtId="0" fontId="21" fillId="2" borderId="0" xfId="3" applyFont="1" applyFill="1"/>
    <xf numFmtId="2" fontId="26" fillId="0" borderId="0" xfId="3" applyNumberFormat="1"/>
    <xf numFmtId="2" fontId="26" fillId="0" borderId="7" xfId="3" applyNumberFormat="1" applyBorder="1"/>
    <xf numFmtId="0" fontId="26" fillId="0" borderId="6" xfId="3" applyBorder="1"/>
    <xf numFmtId="0" fontId="26" fillId="0" borderId="20" xfId="3" applyBorder="1"/>
    <xf numFmtId="167" fontId="26" fillId="0" borderId="0" xfId="3" applyNumberFormat="1"/>
    <xf numFmtId="0" fontId="37" fillId="0" borderId="9" xfId="3" applyFont="1" applyBorder="1"/>
    <xf numFmtId="0" fontId="37" fillId="0" borderId="7" xfId="3" applyFont="1" applyBorder="1"/>
    <xf numFmtId="0" fontId="37" fillId="0" borderId="6" xfId="3" applyFont="1" applyBorder="1"/>
    <xf numFmtId="0" fontId="37" fillId="0" borderId="5" xfId="3" applyFont="1" applyBorder="1"/>
    <xf numFmtId="0" fontId="37" fillId="0" borderId="4" xfId="3" applyFont="1" applyBorder="1"/>
    <xf numFmtId="0" fontId="26" fillId="0" borderId="3" xfId="3" applyBorder="1"/>
    <xf numFmtId="2" fontId="22" fillId="3" borderId="0" xfId="3" applyNumberFormat="1" applyFont="1" applyFill="1"/>
    <xf numFmtId="166" fontId="22" fillId="3" borderId="0" xfId="3" applyNumberFormat="1" applyFont="1" applyFill="1"/>
    <xf numFmtId="1" fontId="22" fillId="3" borderId="0" xfId="3" applyNumberFormat="1" applyFont="1" applyFill="1"/>
    <xf numFmtId="0" fontId="22" fillId="3" borderId="0" xfId="3" applyFont="1" applyFill="1" applyAlignment="1">
      <alignment horizontal="left"/>
    </xf>
    <xf numFmtId="2" fontId="38" fillId="0" borderId="0" xfId="3" applyNumberFormat="1" applyFont="1"/>
    <xf numFmtId="0" fontId="22" fillId="3" borderId="0" xfId="3" applyFont="1" applyFill="1"/>
    <xf numFmtId="9" fontId="22" fillId="3" borderId="0" xfId="3" applyNumberFormat="1" applyFont="1" applyFill="1"/>
    <xf numFmtId="2" fontId="22" fillId="3" borderId="0" xfId="3" applyNumberFormat="1" applyFont="1" applyFill="1" applyAlignment="1">
      <alignment horizontal="right"/>
    </xf>
    <xf numFmtId="1" fontId="22" fillId="3" borderId="0" xfId="3" applyNumberFormat="1" applyFont="1" applyFill="1" applyAlignment="1">
      <alignment horizontal="right"/>
    </xf>
    <xf numFmtId="166" fontId="22" fillId="3" borderId="0" xfId="3" applyNumberFormat="1" applyFont="1" applyFill="1" applyAlignment="1">
      <alignment horizontal="right"/>
    </xf>
    <xf numFmtId="2" fontId="19" fillId="3" borderId="0" xfId="3" applyNumberFormat="1" applyFont="1" applyFill="1" applyAlignment="1">
      <alignment horizontal="right"/>
    </xf>
    <xf numFmtId="2" fontId="26" fillId="15" borderId="0" xfId="3" applyNumberFormat="1" applyFill="1"/>
    <xf numFmtId="2" fontId="26" fillId="16" borderId="0" xfId="3" applyNumberFormat="1" applyFill="1" applyAlignment="1">
      <alignment horizontal="right"/>
    </xf>
    <xf numFmtId="2" fontId="26" fillId="16" borderId="0" xfId="3" applyNumberFormat="1" applyFill="1"/>
    <xf numFmtId="0" fontId="26" fillId="15" borderId="0" xfId="3" applyFill="1"/>
    <xf numFmtId="1" fontId="22" fillId="3" borderId="2" xfId="3" applyNumberFormat="1" applyFont="1" applyFill="1" applyBorder="1" applyAlignment="1">
      <alignment horizontal="right"/>
    </xf>
    <xf numFmtId="0" fontId="22" fillId="13" borderId="9" xfId="3" applyFont="1" applyFill="1" applyBorder="1"/>
    <xf numFmtId="0" fontId="22" fillId="13" borderId="7" xfId="3" applyFont="1" applyFill="1" applyBorder="1"/>
    <xf numFmtId="9" fontId="22" fillId="13" borderId="7" xfId="3" applyNumberFormat="1" applyFont="1" applyFill="1" applyBorder="1"/>
    <xf numFmtId="166" fontId="22" fillId="13" borderId="7" xfId="3" applyNumberFormat="1" applyFont="1" applyFill="1" applyBorder="1"/>
    <xf numFmtId="2" fontId="22" fillId="13" borderId="7" xfId="3" applyNumberFormat="1" applyFont="1" applyFill="1" applyBorder="1" applyAlignment="1">
      <alignment horizontal="right"/>
    </xf>
    <xf numFmtId="1" fontId="22" fillId="13" borderId="7" xfId="3" applyNumberFormat="1" applyFont="1" applyFill="1" applyBorder="1" applyAlignment="1">
      <alignment horizontal="right"/>
    </xf>
    <xf numFmtId="166" fontId="22" fillId="13" borderId="7" xfId="3" applyNumberFormat="1" applyFont="1" applyFill="1" applyBorder="1" applyAlignment="1">
      <alignment horizontal="right"/>
    </xf>
    <xf numFmtId="2" fontId="19" fillId="13" borderId="7" xfId="3" applyNumberFormat="1" applyFont="1" applyFill="1" applyBorder="1" applyAlignment="1">
      <alignment horizontal="right"/>
    </xf>
    <xf numFmtId="166" fontId="19" fillId="13" borderId="7" xfId="3" applyNumberFormat="1" applyFont="1" applyFill="1" applyBorder="1" applyAlignment="1">
      <alignment horizontal="right"/>
    </xf>
    <xf numFmtId="1" fontId="19" fillId="13" borderId="7" xfId="3" applyNumberFormat="1" applyFont="1" applyFill="1" applyBorder="1" applyAlignment="1">
      <alignment horizontal="right"/>
    </xf>
    <xf numFmtId="1" fontId="22" fillId="13" borderId="8" xfId="3" applyNumberFormat="1" applyFont="1" applyFill="1" applyBorder="1" applyAlignment="1">
      <alignment horizontal="right"/>
    </xf>
    <xf numFmtId="0" fontId="22" fillId="13" borderId="6" xfId="3" applyFont="1" applyFill="1" applyBorder="1" applyAlignment="1">
      <alignment horizontal="left"/>
    </xf>
    <xf numFmtId="0" fontId="22" fillId="13" borderId="5" xfId="3" applyFont="1" applyFill="1" applyBorder="1"/>
    <xf numFmtId="0" fontId="22" fillId="13" borderId="4" xfId="3" applyFont="1" applyFill="1" applyBorder="1"/>
    <xf numFmtId="9" fontId="22" fillId="13" borderId="4" xfId="3" applyNumberFormat="1" applyFont="1" applyFill="1" applyBorder="1"/>
    <xf numFmtId="166" fontId="22" fillId="13" borderId="4" xfId="3" applyNumberFormat="1" applyFont="1" applyFill="1" applyBorder="1"/>
    <xf numFmtId="2" fontId="22" fillId="13" borderId="4" xfId="3" applyNumberFormat="1" applyFont="1" applyFill="1" applyBorder="1" applyAlignment="1">
      <alignment horizontal="right"/>
    </xf>
    <xf numFmtId="2" fontId="19" fillId="13" borderId="4" xfId="3" applyNumberFormat="1" applyFont="1" applyFill="1" applyBorder="1" applyAlignment="1">
      <alignment horizontal="right"/>
    </xf>
    <xf numFmtId="1" fontId="22" fillId="13" borderId="4" xfId="3" applyNumberFormat="1" applyFont="1" applyFill="1" applyBorder="1" applyAlignment="1">
      <alignment horizontal="right"/>
    </xf>
    <xf numFmtId="166" fontId="22" fillId="13" borderId="4" xfId="3" applyNumberFormat="1" applyFont="1" applyFill="1" applyBorder="1" applyAlignment="1">
      <alignment horizontal="right"/>
    </xf>
    <xf numFmtId="166" fontId="19" fillId="13" borderId="4" xfId="3" applyNumberFormat="1" applyFont="1" applyFill="1" applyBorder="1" applyAlignment="1">
      <alignment horizontal="right"/>
    </xf>
    <xf numFmtId="1" fontId="19" fillId="13" borderId="4" xfId="3" applyNumberFormat="1" applyFont="1" applyFill="1" applyBorder="1" applyAlignment="1">
      <alignment horizontal="right"/>
    </xf>
    <xf numFmtId="1" fontId="22" fillId="13" borderId="1" xfId="3" applyNumberFormat="1" applyFont="1" applyFill="1" applyBorder="1" applyAlignment="1">
      <alignment horizontal="right"/>
    </xf>
    <xf numFmtId="0" fontId="22" fillId="13" borderId="3" xfId="3" applyFont="1" applyFill="1" applyBorder="1" applyAlignment="1">
      <alignment horizontal="left"/>
    </xf>
    <xf numFmtId="2" fontId="26" fillId="14" borderId="0" xfId="3" applyNumberFormat="1" applyFill="1"/>
    <xf numFmtId="2" fontId="26" fillId="14" borderId="0" xfId="3" applyNumberFormat="1" applyFill="1" applyAlignment="1">
      <alignment horizontal="right"/>
    </xf>
    <xf numFmtId="0" fontId="26" fillId="14" borderId="0" xfId="3" applyFill="1"/>
    <xf numFmtId="1" fontId="39" fillId="6" borderId="0" xfId="3" applyNumberFormat="1" applyFont="1" applyFill="1" applyAlignment="1">
      <alignment horizontal="right"/>
    </xf>
    <xf numFmtId="1" fontId="36" fillId="6" borderId="0" xfId="3" applyNumberFormat="1" applyFont="1" applyFill="1" applyAlignment="1">
      <alignment horizontal="right"/>
    </xf>
    <xf numFmtId="2" fontId="26" fillId="15" borderId="0" xfId="3" applyNumberFormat="1" applyFill="1" applyAlignment="1">
      <alignment horizontal="right"/>
    </xf>
    <xf numFmtId="166" fontId="39" fillId="6" borderId="0" xfId="3" applyNumberFormat="1" applyFont="1" applyFill="1" applyAlignment="1">
      <alignment horizontal="right"/>
    </xf>
    <xf numFmtId="2" fontId="37" fillId="17" borderId="0" xfId="3" applyNumberFormat="1" applyFont="1" applyFill="1"/>
    <xf numFmtId="2" fontId="37" fillId="18" borderId="0" xfId="3" applyNumberFormat="1" applyFont="1" applyFill="1"/>
    <xf numFmtId="1" fontId="19" fillId="2" borderId="0" xfId="3" applyNumberFormat="1" applyFont="1" applyFill="1" applyAlignment="1">
      <alignment horizontal="right"/>
    </xf>
    <xf numFmtId="2" fontId="26" fillId="19" borderId="0" xfId="3" applyNumberFormat="1" applyFill="1"/>
    <xf numFmtId="0" fontId="26" fillId="19" borderId="0" xfId="3" applyFill="1"/>
    <xf numFmtId="0" fontId="38" fillId="0" borderId="0" xfId="3" applyFont="1"/>
    <xf numFmtId="1" fontId="22" fillId="2" borderId="8" xfId="3" applyNumberFormat="1" applyFont="1" applyFill="1" applyBorder="1"/>
    <xf numFmtId="2" fontId="40" fillId="3" borderId="7" xfId="3" applyNumberFormat="1" applyFont="1" applyFill="1" applyBorder="1" applyAlignment="1">
      <alignment horizontal="right"/>
    </xf>
    <xf numFmtId="2" fontId="40" fillId="3" borderId="4" xfId="3" applyNumberFormat="1" applyFont="1" applyFill="1" applyBorder="1" applyAlignment="1">
      <alignment horizontal="right"/>
    </xf>
    <xf numFmtId="166" fontId="40" fillId="3" borderId="4" xfId="3" applyNumberFormat="1" applyFont="1" applyFill="1" applyBorder="1" applyAlignment="1">
      <alignment horizontal="right"/>
    </xf>
    <xf numFmtId="2" fontId="40" fillId="13" borderId="0" xfId="3" applyNumberFormat="1" applyFont="1" applyFill="1" applyAlignment="1">
      <alignment horizontal="right"/>
    </xf>
    <xf numFmtId="166" fontId="40" fillId="13" borderId="0" xfId="3" applyNumberFormat="1" applyFont="1" applyFill="1" applyAlignment="1">
      <alignment horizontal="right"/>
    </xf>
    <xf numFmtId="166" fontId="19" fillId="13" borderId="0" xfId="3" applyNumberFormat="1" applyFont="1" applyFill="1" applyAlignment="1">
      <alignment horizontal="right"/>
    </xf>
    <xf numFmtId="1" fontId="19" fillId="13" borderId="0" xfId="3" applyNumberFormat="1" applyFont="1" applyFill="1" applyAlignment="1">
      <alignment horizontal="right"/>
    </xf>
    <xf numFmtId="1" fontId="40" fillId="13" borderId="0" xfId="3" applyNumberFormat="1" applyFont="1" applyFill="1" applyAlignment="1">
      <alignment horizontal="right"/>
    </xf>
    <xf numFmtId="0" fontId="22" fillId="2" borderId="19" xfId="3" applyFont="1" applyFill="1" applyBorder="1"/>
    <xf numFmtId="0" fontId="22" fillId="2" borderId="17" xfId="3" applyFont="1" applyFill="1" applyBorder="1"/>
    <xf numFmtId="9" fontId="22" fillId="2" borderId="17" xfId="3" applyNumberFormat="1" applyFont="1" applyFill="1" applyBorder="1"/>
    <xf numFmtId="166" fontId="22" fillId="2" borderId="17" xfId="3" applyNumberFormat="1" applyFont="1" applyFill="1" applyBorder="1"/>
    <xf numFmtId="1" fontId="22" fillId="2" borderId="17" xfId="3" applyNumberFormat="1" applyFont="1" applyFill="1" applyBorder="1" applyAlignment="1">
      <alignment horizontal="right"/>
    </xf>
    <xf numFmtId="166" fontId="22" fillId="2" borderId="17" xfId="3" applyNumberFormat="1" applyFont="1" applyFill="1" applyBorder="1" applyAlignment="1">
      <alignment horizontal="right"/>
    </xf>
    <xf numFmtId="2" fontId="22" fillId="2" borderId="17" xfId="3" applyNumberFormat="1" applyFont="1" applyFill="1" applyBorder="1" applyAlignment="1">
      <alignment horizontal="right"/>
    </xf>
    <xf numFmtId="1" fontId="22" fillId="2" borderId="18" xfId="3" applyNumberFormat="1" applyFont="1" applyFill="1" applyBorder="1" applyAlignment="1">
      <alignment horizontal="right"/>
    </xf>
    <xf numFmtId="0" fontId="22" fillId="2" borderId="16" xfId="3" applyFont="1" applyFill="1" applyBorder="1" applyAlignment="1">
      <alignment horizontal="left"/>
    </xf>
    <xf numFmtId="0" fontId="22" fillId="6" borderId="15" xfId="3" applyFont="1" applyFill="1" applyBorder="1"/>
    <xf numFmtId="0" fontId="22" fillId="6" borderId="0" xfId="3" applyFont="1" applyFill="1"/>
    <xf numFmtId="9" fontId="22" fillId="6" borderId="0" xfId="3" applyNumberFormat="1" applyFont="1" applyFill="1"/>
    <xf numFmtId="166" fontId="22" fillId="6" borderId="0" xfId="3" applyNumberFormat="1" applyFont="1" applyFill="1"/>
    <xf numFmtId="166" fontId="22" fillId="6" borderId="0" xfId="3" applyNumberFormat="1" applyFont="1" applyFill="1" applyAlignment="1">
      <alignment horizontal="right"/>
    </xf>
    <xf numFmtId="2" fontId="22" fillId="6" borderId="0" xfId="3" applyNumberFormat="1" applyFont="1" applyFill="1" applyAlignment="1">
      <alignment horizontal="right"/>
    </xf>
    <xf numFmtId="2" fontId="40" fillId="6" borderId="0" xfId="3" applyNumberFormat="1" applyFont="1" applyFill="1" applyAlignment="1">
      <alignment horizontal="right"/>
    </xf>
    <xf numFmtId="1" fontId="22" fillId="6" borderId="0" xfId="3" applyNumberFormat="1" applyFont="1" applyFill="1" applyAlignment="1">
      <alignment horizontal="right"/>
    </xf>
    <xf numFmtId="1" fontId="22" fillId="6" borderId="2" xfId="3" applyNumberFormat="1" applyFont="1" applyFill="1" applyBorder="1" applyAlignment="1">
      <alignment horizontal="right"/>
    </xf>
    <xf numFmtId="167" fontId="22" fillId="6" borderId="0" xfId="3" applyNumberFormat="1" applyFont="1" applyFill="1" applyAlignment="1">
      <alignment horizontal="right"/>
    </xf>
    <xf numFmtId="0" fontId="22" fillId="6" borderId="14" xfId="3" applyFont="1" applyFill="1" applyBorder="1" applyAlignment="1">
      <alignment horizontal="left"/>
    </xf>
    <xf numFmtId="0" fontId="22" fillId="2" borderId="15" xfId="3" applyFont="1" applyFill="1" applyBorder="1"/>
    <xf numFmtId="167" fontId="22" fillId="2" borderId="0" xfId="3" applyNumberFormat="1" applyFont="1" applyFill="1" applyAlignment="1">
      <alignment horizontal="right"/>
    </xf>
    <xf numFmtId="167" fontId="19" fillId="2" borderId="0" xfId="3" applyNumberFormat="1" applyFont="1" applyFill="1" applyAlignment="1">
      <alignment horizontal="right"/>
    </xf>
    <xf numFmtId="0" fontId="22" fillId="2" borderId="14" xfId="3" applyFont="1" applyFill="1" applyBorder="1" applyAlignment="1">
      <alignment horizontal="left"/>
    </xf>
    <xf numFmtId="166" fontId="19" fillId="3" borderId="4" xfId="3" applyNumberFormat="1" applyFont="1" applyFill="1" applyBorder="1" applyAlignment="1">
      <alignment horizontal="right"/>
    </xf>
    <xf numFmtId="2" fontId="19" fillId="6" borderId="0" xfId="3" applyNumberFormat="1" applyFont="1" applyFill="1" applyAlignment="1">
      <alignment horizontal="right"/>
    </xf>
    <xf numFmtId="0" fontId="22" fillId="6" borderId="0" xfId="3" applyFont="1" applyFill="1" applyAlignment="1">
      <alignment horizontal="left"/>
    </xf>
    <xf numFmtId="166" fontId="19" fillId="3" borderId="7" xfId="3" applyNumberFormat="1" applyFont="1" applyFill="1" applyBorder="1" applyAlignment="1">
      <alignment horizontal="right"/>
    </xf>
    <xf numFmtId="0" fontId="26" fillId="2" borderId="0" xfId="3" applyFill="1" applyAlignment="1">
      <alignment horizontal="left"/>
    </xf>
    <xf numFmtId="2" fontId="40" fillId="3" borderId="0" xfId="3" applyNumberFormat="1" applyFont="1" applyFill="1" applyAlignment="1">
      <alignment horizontal="right"/>
    </xf>
    <xf numFmtId="166" fontId="40" fillId="3" borderId="0" xfId="3" applyNumberFormat="1" applyFont="1" applyFill="1" applyAlignment="1">
      <alignment horizontal="right"/>
    </xf>
    <xf numFmtId="2" fontId="40" fillId="13" borderId="7" xfId="3" applyNumberFormat="1" applyFont="1" applyFill="1" applyBorder="1" applyAlignment="1">
      <alignment horizontal="right"/>
    </xf>
    <xf numFmtId="166" fontId="40" fillId="13" borderId="7" xfId="3" applyNumberFormat="1" applyFont="1" applyFill="1" applyBorder="1" applyAlignment="1">
      <alignment horizontal="right"/>
    </xf>
    <xf numFmtId="2" fontId="40" fillId="13" borderId="4" xfId="3" applyNumberFormat="1" applyFont="1" applyFill="1" applyBorder="1" applyAlignment="1">
      <alignment horizontal="right"/>
    </xf>
    <xf numFmtId="1" fontId="40" fillId="13" borderId="4" xfId="3" applyNumberFormat="1" applyFont="1" applyFill="1" applyBorder="1" applyAlignment="1">
      <alignment horizontal="right"/>
    </xf>
    <xf numFmtId="1" fontId="19" fillId="3" borderId="0" xfId="3" applyNumberFormat="1" applyFont="1" applyFill="1" applyAlignment="1">
      <alignment horizontal="right"/>
    </xf>
    <xf numFmtId="166" fontId="19" fillId="3" borderId="0" xfId="3" applyNumberFormat="1" applyFont="1" applyFill="1" applyAlignment="1">
      <alignment horizontal="right"/>
    </xf>
    <xf numFmtId="2" fontId="19" fillId="2" borderId="17" xfId="3" applyNumberFormat="1" applyFont="1" applyFill="1" applyBorder="1" applyAlignment="1">
      <alignment horizontal="right"/>
    </xf>
    <xf numFmtId="2" fontId="33" fillId="13" borderId="0" xfId="3" applyNumberFormat="1" applyFont="1" applyFill="1" applyAlignment="1">
      <alignment horizontal="right"/>
    </xf>
    <xf numFmtId="166" fontId="33" fillId="13" borderId="0" xfId="3" applyNumberFormat="1" applyFont="1" applyFill="1" applyAlignment="1">
      <alignment horizontal="right"/>
    </xf>
    <xf numFmtId="1" fontId="33" fillId="13" borderId="0" xfId="3" applyNumberFormat="1" applyFont="1" applyFill="1" applyAlignment="1">
      <alignment horizontal="right"/>
    </xf>
    <xf numFmtId="166" fontId="21" fillId="3" borderId="7" xfId="3" applyNumberFormat="1" applyFont="1" applyFill="1" applyBorder="1" applyAlignment="1">
      <alignment horizontal="right"/>
    </xf>
    <xf numFmtId="166" fontId="33" fillId="3" borderId="7" xfId="3" applyNumberFormat="1" applyFont="1" applyFill="1" applyBorder="1" applyAlignment="1">
      <alignment horizontal="right"/>
    </xf>
    <xf numFmtId="2" fontId="33" fillId="3" borderId="4" xfId="3" applyNumberFormat="1" applyFont="1" applyFill="1" applyBorder="1" applyAlignment="1">
      <alignment horizontal="right"/>
    </xf>
    <xf numFmtId="166" fontId="33" fillId="3" borderId="4" xfId="3" applyNumberFormat="1" applyFont="1" applyFill="1" applyBorder="1" applyAlignment="1">
      <alignment horizontal="right"/>
    </xf>
    <xf numFmtId="166" fontId="21" fillId="3" borderId="4" xfId="3" applyNumberFormat="1" applyFont="1" applyFill="1" applyBorder="1" applyAlignment="1">
      <alignment horizontal="right"/>
    </xf>
    <xf numFmtId="166" fontId="21" fillId="6" borderId="0" xfId="3" applyNumberFormat="1" applyFont="1" applyFill="1" applyAlignment="1">
      <alignment horizontal="right"/>
    </xf>
    <xf numFmtId="1" fontId="21" fillId="6" borderId="0" xfId="3" applyNumberFormat="1" applyFont="1" applyFill="1" applyAlignment="1">
      <alignment horizontal="right"/>
    </xf>
    <xf numFmtId="1" fontId="19" fillId="6" borderId="0" xfId="3" applyNumberFormat="1" applyFont="1" applyFill="1" applyAlignment="1">
      <alignment horizontal="right"/>
    </xf>
    <xf numFmtId="167" fontId="19" fillId="6" borderId="0" xfId="3" applyNumberFormat="1" applyFont="1" applyFill="1" applyAlignment="1">
      <alignment horizontal="right"/>
    </xf>
    <xf numFmtId="2" fontId="33" fillId="3" borderId="7" xfId="3" applyNumberFormat="1" applyFont="1" applyFill="1" applyBorder="1" applyAlignment="1">
      <alignment horizontal="right"/>
    </xf>
    <xf numFmtId="1" fontId="33" fillId="3" borderId="7" xfId="3" applyNumberFormat="1" applyFont="1" applyFill="1" applyBorder="1" applyAlignment="1">
      <alignment horizontal="right"/>
    </xf>
    <xf numFmtId="1" fontId="33" fillId="3" borderId="4" xfId="3" applyNumberFormat="1" applyFont="1" applyFill="1" applyBorder="1" applyAlignment="1">
      <alignment horizontal="right"/>
    </xf>
    <xf numFmtId="2" fontId="33" fillId="13" borderId="7" xfId="3" applyNumberFormat="1" applyFont="1" applyFill="1" applyBorder="1" applyAlignment="1">
      <alignment horizontal="right"/>
    </xf>
    <xf numFmtId="166" fontId="33" fillId="13" borderId="7" xfId="3" applyNumberFormat="1" applyFont="1" applyFill="1" applyBorder="1" applyAlignment="1">
      <alignment horizontal="right"/>
    </xf>
    <xf numFmtId="1" fontId="33" fillId="13" borderId="7" xfId="3" applyNumberFormat="1" applyFont="1" applyFill="1" applyBorder="1" applyAlignment="1">
      <alignment horizontal="right"/>
    </xf>
    <xf numFmtId="2" fontId="33" fillId="13" borderId="4" xfId="3" applyNumberFormat="1" applyFont="1" applyFill="1" applyBorder="1" applyAlignment="1">
      <alignment horizontal="right"/>
    </xf>
    <xf numFmtId="166" fontId="33" fillId="13" borderId="4" xfId="3" applyNumberFormat="1" applyFont="1" applyFill="1" applyBorder="1" applyAlignment="1">
      <alignment horizontal="right"/>
    </xf>
    <xf numFmtId="1" fontId="33" fillId="13" borderId="4" xfId="3" applyNumberFormat="1" applyFont="1" applyFill="1" applyBorder="1" applyAlignment="1">
      <alignment horizontal="right"/>
    </xf>
    <xf numFmtId="1" fontId="21" fillId="3" borderId="0" xfId="3" applyNumberFormat="1" applyFont="1" applyFill="1" applyAlignment="1">
      <alignment horizontal="right"/>
    </xf>
    <xf numFmtId="166" fontId="33" fillId="3" borderId="0" xfId="3" applyNumberFormat="1" applyFont="1" applyFill="1" applyAlignment="1">
      <alignment horizontal="right"/>
    </xf>
    <xf numFmtId="1" fontId="33" fillId="3" borderId="0" xfId="3" applyNumberFormat="1" applyFont="1" applyFill="1" applyAlignment="1">
      <alignment horizontal="right"/>
    </xf>
    <xf numFmtId="2" fontId="33" fillId="3" borderId="0" xfId="3" applyNumberFormat="1" applyFont="1" applyFill="1" applyAlignment="1">
      <alignment horizontal="right"/>
    </xf>
    <xf numFmtId="0" fontId="22" fillId="6" borderId="19" xfId="3" applyFont="1" applyFill="1" applyBorder="1"/>
    <xf numFmtId="0" fontId="22" fillId="6" borderId="17" xfId="3" applyFont="1" applyFill="1" applyBorder="1"/>
    <xf numFmtId="9" fontId="22" fillId="6" borderId="17" xfId="3" applyNumberFormat="1" applyFont="1" applyFill="1" applyBorder="1"/>
    <xf numFmtId="166" fontId="22" fillId="6" borderId="17" xfId="3" applyNumberFormat="1" applyFont="1" applyFill="1" applyBorder="1"/>
    <xf numFmtId="2" fontId="22" fillId="6" borderId="17" xfId="3" applyNumberFormat="1" applyFont="1" applyFill="1" applyBorder="1" applyAlignment="1">
      <alignment horizontal="right"/>
    </xf>
    <xf numFmtId="167" fontId="22" fillId="6" borderId="17" xfId="3" applyNumberFormat="1" applyFont="1" applyFill="1" applyBorder="1" applyAlignment="1">
      <alignment horizontal="right"/>
    </xf>
    <xf numFmtId="2" fontId="19" fillId="6" borderId="17" xfId="3" applyNumberFormat="1" applyFont="1" applyFill="1" applyBorder="1" applyAlignment="1">
      <alignment horizontal="right"/>
    </xf>
    <xf numFmtId="1" fontId="21" fillId="6" borderId="17" xfId="3" applyNumberFormat="1" applyFont="1" applyFill="1" applyBorder="1" applyAlignment="1">
      <alignment horizontal="right"/>
    </xf>
    <xf numFmtId="1" fontId="22" fillId="6" borderId="17" xfId="3" applyNumberFormat="1" applyFont="1" applyFill="1" applyBorder="1" applyAlignment="1">
      <alignment horizontal="right"/>
    </xf>
    <xf numFmtId="166" fontId="22" fillId="6" borderId="17" xfId="3" applyNumberFormat="1" applyFont="1" applyFill="1" applyBorder="1" applyAlignment="1">
      <alignment horizontal="right"/>
    </xf>
    <xf numFmtId="1" fontId="22" fillId="6" borderId="18" xfId="3" applyNumberFormat="1" applyFont="1" applyFill="1" applyBorder="1" applyAlignment="1">
      <alignment horizontal="right"/>
    </xf>
    <xf numFmtId="1" fontId="19" fillId="6" borderId="17" xfId="3" applyNumberFormat="1" applyFont="1" applyFill="1" applyBorder="1" applyAlignment="1">
      <alignment horizontal="right"/>
    </xf>
    <xf numFmtId="0" fontId="22" fillId="6" borderId="16" xfId="3" applyFont="1" applyFill="1" applyBorder="1" applyAlignment="1">
      <alignment horizontal="left"/>
    </xf>
    <xf numFmtId="2" fontId="21" fillId="3" borderId="0" xfId="3" applyNumberFormat="1" applyFont="1" applyFill="1" applyAlignment="1">
      <alignment horizontal="right"/>
    </xf>
    <xf numFmtId="2" fontId="21" fillId="13" borderId="4" xfId="3" applyNumberFormat="1" applyFont="1" applyFill="1" applyBorder="1" applyAlignment="1">
      <alignment horizontal="right"/>
    </xf>
    <xf numFmtId="0" fontId="22" fillId="2" borderId="9" xfId="3" applyFont="1" applyFill="1" applyBorder="1"/>
    <xf numFmtId="0" fontId="22" fillId="2" borderId="7" xfId="3" applyFont="1" applyFill="1" applyBorder="1"/>
    <xf numFmtId="9" fontId="22" fillId="2" borderId="7" xfId="3" applyNumberFormat="1" applyFont="1" applyFill="1" applyBorder="1"/>
    <xf numFmtId="166" fontId="22" fillId="2" borderId="7" xfId="3" applyNumberFormat="1" applyFont="1" applyFill="1" applyBorder="1"/>
    <xf numFmtId="1" fontId="22" fillId="2" borderId="7" xfId="3" applyNumberFormat="1" applyFont="1" applyFill="1" applyBorder="1" applyAlignment="1">
      <alignment horizontal="right"/>
    </xf>
    <xf numFmtId="166" fontId="22" fillId="2" borderId="7" xfId="3" applyNumberFormat="1" applyFont="1" applyFill="1" applyBorder="1" applyAlignment="1">
      <alignment horizontal="right"/>
    </xf>
    <xf numFmtId="2" fontId="19" fillId="2" borderId="7" xfId="3" applyNumberFormat="1" applyFont="1" applyFill="1" applyBorder="1" applyAlignment="1">
      <alignment horizontal="right"/>
    </xf>
    <xf numFmtId="2" fontId="22" fillId="2" borderId="7" xfId="3" applyNumberFormat="1" applyFont="1" applyFill="1" applyBorder="1" applyAlignment="1">
      <alignment horizontal="right"/>
    </xf>
    <xf numFmtId="167" fontId="22" fillId="2" borderId="7" xfId="3" applyNumberFormat="1" applyFont="1" applyFill="1" applyBorder="1" applyAlignment="1">
      <alignment horizontal="right"/>
    </xf>
    <xf numFmtId="1" fontId="22" fillId="2" borderId="22" xfId="3" applyNumberFormat="1" applyFont="1" applyFill="1" applyBorder="1" applyAlignment="1">
      <alignment horizontal="right"/>
    </xf>
    <xf numFmtId="0" fontId="22" fillId="2" borderId="6" xfId="3" quotePrefix="1" applyFont="1" applyFill="1" applyBorder="1" applyAlignment="1">
      <alignment horizontal="left"/>
    </xf>
    <xf numFmtId="0" fontId="22" fillId="2" borderId="21" xfId="3" applyFont="1" applyFill="1" applyBorder="1"/>
    <xf numFmtId="1" fontId="22" fillId="2" borderId="8" xfId="3" applyNumberFormat="1" applyFont="1" applyFill="1" applyBorder="1" applyAlignment="1">
      <alignment horizontal="right"/>
    </xf>
    <xf numFmtId="0" fontId="22" fillId="2" borderId="20" xfId="3" applyFont="1" applyFill="1" applyBorder="1" applyAlignment="1">
      <alignment horizontal="left"/>
    </xf>
    <xf numFmtId="0" fontId="22" fillId="2" borderId="5" xfId="3" applyFont="1" applyFill="1" applyBorder="1"/>
    <xf numFmtId="0" fontId="22" fillId="2" borderId="4" xfId="3" applyFont="1" applyFill="1" applyBorder="1"/>
    <xf numFmtId="9" fontId="22" fillId="2" borderId="4" xfId="3" applyNumberFormat="1" applyFont="1" applyFill="1" applyBorder="1"/>
    <xf numFmtId="166" fontId="22" fillId="2" borderId="4" xfId="3" applyNumberFormat="1" applyFont="1" applyFill="1" applyBorder="1"/>
    <xf numFmtId="1" fontId="22" fillId="2" borderId="4" xfId="3" applyNumberFormat="1" applyFont="1" applyFill="1" applyBorder="1" applyAlignment="1">
      <alignment horizontal="right"/>
    </xf>
    <xf numFmtId="2" fontId="22" fillId="2" borderId="4" xfId="3" applyNumberFormat="1" applyFont="1" applyFill="1" applyBorder="1" applyAlignment="1">
      <alignment horizontal="right"/>
    </xf>
    <xf numFmtId="2" fontId="19" fillId="2" borderId="4" xfId="3" applyNumberFormat="1" applyFont="1" applyFill="1" applyBorder="1" applyAlignment="1">
      <alignment horizontal="right"/>
    </xf>
    <xf numFmtId="166" fontId="22" fillId="2" borderId="4" xfId="3" applyNumberFormat="1" applyFont="1" applyFill="1" applyBorder="1" applyAlignment="1">
      <alignment horizontal="right"/>
    </xf>
    <xf numFmtId="1" fontId="22" fillId="2" borderId="1" xfId="3" applyNumberFormat="1" applyFont="1" applyFill="1" applyBorder="1" applyAlignment="1">
      <alignment horizontal="right"/>
    </xf>
    <xf numFmtId="0" fontId="22" fillId="2" borderId="3" xfId="3" applyFont="1" applyFill="1" applyBorder="1" applyAlignment="1">
      <alignment horizontal="left"/>
    </xf>
    <xf numFmtId="0" fontId="22" fillId="2" borderId="13" xfId="3" applyFont="1" applyFill="1" applyBorder="1"/>
    <xf numFmtId="0" fontId="22" fillId="2" borderId="11" xfId="3" applyFont="1" applyFill="1" applyBorder="1"/>
    <xf numFmtId="9" fontId="22" fillId="2" borderId="11" xfId="3" applyNumberFormat="1" applyFont="1" applyFill="1" applyBorder="1"/>
    <xf numFmtId="166" fontId="22" fillId="2" borderId="11" xfId="3" applyNumberFormat="1" applyFont="1" applyFill="1" applyBorder="1"/>
    <xf numFmtId="1" fontId="22" fillId="2" borderId="11" xfId="3" applyNumberFormat="1" applyFont="1" applyFill="1" applyBorder="1" applyAlignment="1">
      <alignment horizontal="right"/>
    </xf>
    <xf numFmtId="2" fontId="22" fillId="2" borderId="11" xfId="3" applyNumberFormat="1" applyFont="1" applyFill="1" applyBorder="1" applyAlignment="1">
      <alignment horizontal="right"/>
    </xf>
    <xf numFmtId="2" fontId="19" fillId="2" borderId="11" xfId="3" applyNumberFormat="1" applyFont="1" applyFill="1" applyBorder="1" applyAlignment="1">
      <alignment horizontal="right"/>
    </xf>
    <xf numFmtId="166" fontId="22" fillId="2" borderId="11" xfId="3" applyNumberFormat="1" applyFont="1" applyFill="1" applyBorder="1" applyAlignment="1">
      <alignment horizontal="right"/>
    </xf>
    <xf numFmtId="1" fontId="22" fillId="2" borderId="12" xfId="3" applyNumberFormat="1" applyFont="1" applyFill="1" applyBorder="1" applyAlignment="1">
      <alignment horizontal="right"/>
    </xf>
    <xf numFmtId="1" fontId="19" fillId="2" borderId="11" xfId="3" applyNumberFormat="1" applyFont="1" applyFill="1" applyBorder="1" applyAlignment="1">
      <alignment horizontal="right"/>
    </xf>
    <xf numFmtId="0" fontId="22" fillId="2" borderId="10" xfId="3" applyFont="1" applyFill="1" applyBorder="1" applyAlignment="1">
      <alignment horizontal="left"/>
    </xf>
    <xf numFmtId="167" fontId="19" fillId="2" borderId="17" xfId="3" applyNumberFormat="1" applyFont="1" applyFill="1" applyBorder="1" applyAlignment="1">
      <alignment horizontal="right"/>
    </xf>
    <xf numFmtId="0" fontId="41" fillId="2" borderId="0" xfId="3" applyFont="1" applyFill="1"/>
    <xf numFmtId="167" fontId="26" fillId="14" borderId="0" xfId="3" applyNumberFormat="1" applyFill="1"/>
    <xf numFmtId="167" fontId="26" fillId="16" borderId="0" xfId="3" applyNumberFormat="1" applyFill="1"/>
    <xf numFmtId="0" fontId="22" fillId="2" borderId="6" xfId="3" applyFont="1" applyFill="1" applyBorder="1" applyAlignment="1">
      <alignment horizontal="left"/>
    </xf>
    <xf numFmtId="167" fontId="26" fillId="20" borderId="0" xfId="3" applyNumberFormat="1" applyFill="1"/>
    <xf numFmtId="167" fontId="22" fillId="2" borderId="17" xfId="3" applyNumberFormat="1" applyFont="1" applyFill="1" applyBorder="1" applyAlignment="1">
      <alignment horizontal="right"/>
    </xf>
    <xf numFmtId="167" fontId="22" fillId="2" borderId="11" xfId="3" applyNumberFormat="1" applyFont="1" applyFill="1" applyBorder="1" applyAlignment="1">
      <alignment horizontal="right"/>
    </xf>
    <xf numFmtId="2" fontId="26" fillId="21" borderId="0" xfId="3" applyNumberFormat="1" applyFill="1"/>
    <xf numFmtId="0" fontId="26" fillId="21" borderId="0" xfId="3" applyFill="1"/>
    <xf numFmtId="0" fontId="43" fillId="2" borderId="0" xfId="3" applyFont="1" applyFill="1"/>
    <xf numFmtId="167" fontId="19" fillId="3" borderId="0" xfId="3" applyNumberFormat="1" applyFont="1" applyFill="1" applyAlignment="1">
      <alignment horizontal="right"/>
    </xf>
    <xf numFmtId="0" fontId="42" fillId="0" borderId="0" xfId="3" applyFont="1"/>
    <xf numFmtId="167" fontId="22" fillId="3" borderId="4" xfId="3" applyNumberFormat="1" applyFont="1" applyFill="1" applyBorder="1" applyAlignment="1">
      <alignment horizontal="right"/>
    </xf>
    <xf numFmtId="0" fontId="26" fillId="22" borderId="0" xfId="3" applyFill="1"/>
    <xf numFmtId="0" fontId="44" fillId="22" borderId="0" xfId="3" applyFont="1" applyFill="1"/>
    <xf numFmtId="0" fontId="30" fillId="5" borderId="3" xfId="1" applyFont="1" applyFill="1" applyBorder="1" applyAlignment="1">
      <alignment horizontal="left"/>
    </xf>
    <xf numFmtId="2" fontId="30" fillId="5" borderId="4" xfId="1" applyNumberFormat="1" applyFont="1" applyFill="1" applyBorder="1" applyAlignment="1">
      <alignment horizontal="right"/>
    </xf>
    <xf numFmtId="2" fontId="31" fillId="5" borderId="4" xfId="1" applyNumberFormat="1" applyFont="1" applyFill="1" applyBorder="1" applyAlignment="1">
      <alignment horizontal="right"/>
    </xf>
    <xf numFmtId="1" fontId="30" fillId="5" borderId="4" xfId="1" applyNumberFormat="1" applyFont="1" applyFill="1" applyBorder="1" applyAlignment="1">
      <alignment horizontal="right"/>
    </xf>
    <xf numFmtId="1" fontId="30" fillId="5" borderId="1" xfId="1" applyNumberFormat="1" applyFont="1" applyFill="1" applyBorder="1" applyAlignment="1">
      <alignment horizontal="right"/>
    </xf>
    <xf numFmtId="0" fontId="30" fillId="5" borderId="4" xfId="1" applyFont="1" applyFill="1" applyBorder="1"/>
    <xf numFmtId="166" fontId="30" fillId="5" borderId="4" xfId="1" applyNumberFormat="1" applyFont="1" applyFill="1" applyBorder="1"/>
    <xf numFmtId="9" fontId="30" fillId="5" borderId="4" xfId="1" applyNumberFormat="1" applyFont="1" applyFill="1" applyBorder="1"/>
    <xf numFmtId="0" fontId="30" fillId="5" borderId="5" xfId="1" applyFont="1" applyFill="1" applyBorder="1"/>
    <xf numFmtId="0" fontId="30" fillId="5" borderId="20" xfId="1" applyFont="1" applyFill="1" applyBorder="1" applyAlignment="1">
      <alignment horizontal="left"/>
    </xf>
    <xf numFmtId="0" fontId="30" fillId="5" borderId="21" xfId="1" applyFont="1" applyFill="1" applyBorder="1"/>
    <xf numFmtId="0" fontId="30" fillId="7" borderId="20" xfId="1" applyFont="1" applyFill="1" applyBorder="1" applyAlignment="1">
      <alignment horizontal="left"/>
    </xf>
    <xf numFmtId="0" fontId="30" fillId="7" borderId="21" xfId="1" applyFont="1" applyFill="1" applyBorder="1"/>
    <xf numFmtId="0" fontId="30" fillId="6" borderId="20" xfId="1" applyFont="1" applyFill="1" applyBorder="1" applyAlignment="1">
      <alignment horizontal="left"/>
    </xf>
    <xf numFmtId="0" fontId="30" fillId="6" borderId="21" xfId="1" applyFont="1" applyFill="1" applyBorder="1"/>
    <xf numFmtId="0" fontId="30" fillId="6" borderId="6" xfId="1" applyFont="1" applyFill="1" applyBorder="1" applyAlignment="1">
      <alignment horizontal="left"/>
    </xf>
    <xf numFmtId="1" fontId="30" fillId="6" borderId="7" xfId="1" applyNumberFormat="1" applyFont="1" applyFill="1" applyBorder="1" applyAlignment="1">
      <alignment horizontal="right"/>
    </xf>
    <xf numFmtId="1" fontId="31" fillId="6" borderId="7" xfId="1" applyNumberFormat="1" applyFont="1" applyFill="1" applyBorder="1" applyAlignment="1">
      <alignment horizontal="right"/>
    </xf>
    <xf numFmtId="1" fontId="30" fillId="6" borderId="8" xfId="1" applyNumberFormat="1" applyFont="1" applyFill="1" applyBorder="1" applyAlignment="1">
      <alignment horizontal="right"/>
    </xf>
    <xf numFmtId="2" fontId="30" fillId="6" borderId="7" xfId="1" applyNumberFormat="1" applyFont="1" applyFill="1" applyBorder="1" applyAlignment="1">
      <alignment horizontal="right"/>
    </xf>
    <xf numFmtId="2" fontId="31" fillId="6" borderId="7" xfId="1" applyNumberFormat="1" applyFont="1" applyFill="1" applyBorder="1" applyAlignment="1">
      <alignment horizontal="right"/>
    </xf>
    <xf numFmtId="0" fontId="30" fillId="6" borderId="7" xfId="1" applyFont="1" applyFill="1" applyBorder="1"/>
    <xf numFmtId="166" fontId="30" fillId="6" borderId="7" xfId="1" applyNumberFormat="1" applyFont="1" applyFill="1" applyBorder="1"/>
    <xf numFmtId="9" fontId="30" fillId="6" borderId="7" xfId="1" applyNumberFormat="1" applyFont="1" applyFill="1" applyBorder="1"/>
    <xf numFmtId="0" fontId="30" fillId="6" borderId="9" xfId="1" applyFont="1" applyFill="1" applyBorder="1"/>
    <xf numFmtId="0" fontId="30" fillId="5" borderId="20" xfId="0" applyFont="1" applyFill="1" applyBorder="1" applyAlignment="1">
      <alignment horizontal="left"/>
    </xf>
    <xf numFmtId="2" fontId="31" fillId="5" borderId="0" xfId="0" quotePrefix="1" applyNumberFormat="1" applyFont="1" applyFill="1" applyAlignment="1">
      <alignment horizontal="right"/>
    </xf>
    <xf numFmtId="0" fontId="30" fillId="5" borderId="21" xfId="0" applyFont="1" applyFill="1" applyBorder="1"/>
    <xf numFmtId="0" fontId="30" fillId="7" borderId="20" xfId="0" applyFont="1" applyFill="1" applyBorder="1" applyAlignment="1">
      <alignment horizontal="left"/>
    </xf>
    <xf numFmtId="0" fontId="30" fillId="7" borderId="21" xfId="0" applyFont="1" applyFill="1" applyBorder="1"/>
    <xf numFmtId="0" fontId="30" fillId="6" borderId="20" xfId="0" applyFont="1" applyFill="1" applyBorder="1" applyAlignment="1">
      <alignment horizontal="left"/>
    </xf>
    <xf numFmtId="0" fontId="30" fillId="6" borderId="21" xfId="0" applyFont="1" applyFill="1" applyBorder="1"/>
    <xf numFmtId="0" fontId="30" fillId="6" borderId="6" xfId="0" applyFont="1" applyFill="1" applyBorder="1" applyAlignment="1">
      <alignment horizontal="left"/>
    </xf>
    <xf numFmtId="1" fontId="30" fillId="6" borderId="7" xfId="0" applyNumberFormat="1" applyFont="1" applyFill="1" applyBorder="1" applyAlignment="1">
      <alignment horizontal="right"/>
    </xf>
    <xf numFmtId="1" fontId="31" fillId="6" borderId="7" xfId="0" applyNumberFormat="1" applyFont="1" applyFill="1" applyBorder="1" applyAlignment="1">
      <alignment horizontal="right"/>
    </xf>
    <xf numFmtId="1" fontId="30" fillId="6" borderId="8" xfId="0" applyNumberFormat="1" applyFont="1" applyFill="1" applyBorder="1" applyAlignment="1">
      <alignment horizontal="right"/>
    </xf>
    <xf numFmtId="2" fontId="30" fillId="6" borderId="7" xfId="0" applyNumberFormat="1" applyFont="1" applyFill="1" applyBorder="1" applyAlignment="1">
      <alignment horizontal="right"/>
    </xf>
    <xf numFmtId="2" fontId="31" fillId="6" borderId="7" xfId="0" applyNumberFormat="1" applyFont="1" applyFill="1" applyBorder="1" applyAlignment="1">
      <alignment horizontal="right"/>
    </xf>
    <xf numFmtId="166" fontId="30" fillId="6" borderId="7" xfId="0" applyNumberFormat="1" applyFont="1" applyFill="1" applyBorder="1" applyAlignment="1">
      <alignment horizontal="right"/>
    </xf>
    <xf numFmtId="0" fontId="30" fillId="6" borderId="7" xfId="0" applyFont="1" applyFill="1" applyBorder="1"/>
    <xf numFmtId="166" fontId="30" fillId="6" borderId="7" xfId="0" applyNumberFormat="1" applyFont="1" applyFill="1" applyBorder="1"/>
    <xf numFmtId="9" fontId="30" fillId="6" borderId="7" xfId="0" applyNumberFormat="1" applyFont="1" applyFill="1" applyBorder="1"/>
    <xf numFmtId="0" fontId="30" fillId="6" borderId="9" xfId="0" applyFont="1" applyFill="1" applyBorder="1"/>
    <xf numFmtId="1" fontId="30" fillId="2" borderId="2" xfId="2" applyNumberFormat="1" applyFont="1" applyBorder="1"/>
    <xf numFmtId="0" fontId="30" fillId="13" borderId="0" xfId="2" applyFont="1" applyFill="1" applyAlignment="1">
      <alignment horizontal="left"/>
    </xf>
    <xf numFmtId="1" fontId="30" fillId="13" borderId="0" xfId="2" applyNumberFormat="1" applyFont="1" applyFill="1" applyAlignment="1">
      <alignment horizontal="right"/>
    </xf>
    <xf numFmtId="2" fontId="31" fillId="13" borderId="0" xfId="2" applyNumberFormat="1" applyFont="1" applyFill="1" applyAlignment="1">
      <alignment horizontal="right"/>
    </xf>
    <xf numFmtId="1" fontId="30" fillId="13" borderId="2" xfId="2" applyNumberFormat="1" applyFont="1" applyFill="1" applyBorder="1" applyAlignment="1">
      <alignment horizontal="right"/>
    </xf>
    <xf numFmtId="2" fontId="30" fillId="13" borderId="0" xfId="2" applyNumberFormat="1" applyFont="1" applyFill="1" applyAlignment="1">
      <alignment horizontal="right"/>
    </xf>
    <xf numFmtId="166" fontId="30" fillId="13" borderId="0" xfId="2" applyNumberFormat="1" applyFont="1" applyFill="1" applyAlignment="1">
      <alignment horizontal="right"/>
    </xf>
    <xf numFmtId="0" fontId="30" fillId="13" borderId="0" xfId="2" applyFont="1" applyFill="1"/>
    <xf numFmtId="166" fontId="30" fillId="13" borderId="0" xfId="2" applyNumberFormat="1" applyFont="1" applyFill="1"/>
    <xf numFmtId="9" fontId="30" fillId="13" borderId="0" xfId="2" applyNumberFormat="1" applyFont="1" applyFill="1"/>
    <xf numFmtId="0" fontId="30" fillId="3" borderId="3" xfId="2" applyFont="1" applyFill="1" applyBorder="1" applyAlignment="1">
      <alignment horizontal="left"/>
    </xf>
    <xf numFmtId="166" fontId="31" fillId="3" borderId="4" xfId="2" applyNumberFormat="1" applyFont="1" applyFill="1" applyBorder="1" applyAlignment="1">
      <alignment horizontal="right"/>
    </xf>
    <xf numFmtId="1" fontId="30" fillId="3" borderId="4" xfId="2" applyNumberFormat="1" applyFont="1" applyFill="1" applyBorder="1" applyAlignment="1">
      <alignment horizontal="right"/>
    </xf>
    <xf numFmtId="2" fontId="31" fillId="3" borderId="4" xfId="2" applyNumberFormat="1" applyFont="1" applyFill="1" applyBorder="1" applyAlignment="1">
      <alignment horizontal="right"/>
    </xf>
    <xf numFmtId="1" fontId="30" fillId="3" borderId="1" xfId="2" applyNumberFormat="1" applyFont="1" applyFill="1" applyBorder="1" applyAlignment="1">
      <alignment horizontal="right"/>
    </xf>
    <xf numFmtId="1" fontId="31" fillId="3" borderId="4" xfId="2" applyNumberFormat="1" applyFont="1" applyFill="1" applyBorder="1" applyAlignment="1">
      <alignment horizontal="right"/>
    </xf>
    <xf numFmtId="166" fontId="30" fillId="3" borderId="4" xfId="2" applyNumberFormat="1" applyFont="1" applyFill="1" applyBorder="1" applyAlignment="1">
      <alignment horizontal="right"/>
    </xf>
    <xf numFmtId="2" fontId="30" fillId="3" borderId="4" xfId="2" applyNumberFormat="1" applyFont="1" applyFill="1" applyBorder="1" applyAlignment="1">
      <alignment horizontal="right"/>
    </xf>
    <xf numFmtId="0" fontId="30" fillId="3" borderId="4" xfId="2" applyFont="1" applyFill="1" applyBorder="1"/>
    <xf numFmtId="166" fontId="30" fillId="3" borderId="4" xfId="2" applyNumberFormat="1" applyFont="1" applyFill="1" applyBorder="1"/>
    <xf numFmtId="9" fontId="30" fillId="3" borderId="4" xfId="2" applyNumberFormat="1" applyFont="1" applyFill="1" applyBorder="1"/>
    <xf numFmtId="0" fontId="30" fillId="3" borderId="5" xfId="2" applyFont="1" applyFill="1" applyBorder="1"/>
    <xf numFmtId="0" fontId="30" fillId="3" borderId="6" xfId="2" applyFont="1" applyFill="1" applyBorder="1" applyAlignment="1">
      <alignment horizontal="left"/>
    </xf>
    <xf numFmtId="1" fontId="31" fillId="3" borderId="7" xfId="2" applyNumberFormat="1" applyFont="1" applyFill="1" applyBorder="1" applyAlignment="1">
      <alignment horizontal="right"/>
    </xf>
    <xf numFmtId="1" fontId="30" fillId="3" borderId="7" xfId="2" applyNumberFormat="1" applyFont="1" applyFill="1" applyBorder="1" applyAlignment="1">
      <alignment horizontal="right"/>
    </xf>
    <xf numFmtId="2" fontId="31" fillId="3" borderId="7" xfId="2" applyNumberFormat="1" applyFont="1" applyFill="1" applyBorder="1" applyAlignment="1">
      <alignment horizontal="right"/>
    </xf>
    <xf numFmtId="166" fontId="30" fillId="3" borderId="7" xfId="2" applyNumberFormat="1" applyFont="1" applyFill="1" applyBorder="1" applyAlignment="1">
      <alignment horizontal="right"/>
    </xf>
    <xf numFmtId="166" fontId="31" fillId="3" borderId="7" xfId="2" applyNumberFormat="1" applyFont="1" applyFill="1" applyBorder="1" applyAlignment="1">
      <alignment horizontal="right"/>
    </xf>
    <xf numFmtId="2" fontId="30" fillId="3" borderId="7" xfId="2" applyNumberFormat="1" applyFont="1" applyFill="1" applyBorder="1" applyAlignment="1">
      <alignment horizontal="right"/>
    </xf>
    <xf numFmtId="0" fontId="30" fillId="3" borderId="7" xfId="2" applyFont="1" applyFill="1" applyBorder="1"/>
    <xf numFmtId="166" fontId="30" fillId="3" borderId="7" xfId="2" applyNumberFormat="1" applyFont="1" applyFill="1" applyBorder="1"/>
    <xf numFmtId="9" fontId="30" fillId="3" borderId="7" xfId="2" applyNumberFormat="1" applyFont="1" applyFill="1" applyBorder="1"/>
    <xf numFmtId="0" fontId="30" fillId="3" borderId="9" xfId="2" applyFont="1" applyFill="1" applyBorder="1"/>
    <xf numFmtId="167" fontId="30" fillId="13" borderId="0" xfId="2" applyNumberFormat="1" applyFont="1" applyFill="1" applyAlignment="1">
      <alignment horizontal="right"/>
    </xf>
    <xf numFmtId="0" fontId="31" fillId="5" borderId="0" xfId="0" applyFont="1" applyFill="1"/>
    <xf numFmtId="167" fontId="31" fillId="6" borderId="0" xfId="0" applyNumberFormat="1" applyFont="1" applyFill="1" applyAlignment="1">
      <alignment horizontal="right"/>
    </xf>
    <xf numFmtId="0" fontId="29" fillId="6" borderId="0" xfId="0" applyFont="1" applyFill="1" applyAlignment="1">
      <alignment horizontal="left"/>
    </xf>
    <xf numFmtId="1" fontId="29" fillId="6" borderId="0" xfId="0" applyNumberFormat="1" applyFont="1" applyFill="1" applyAlignment="1">
      <alignment horizontal="right"/>
    </xf>
    <xf numFmtId="1" fontId="29" fillId="6" borderId="2" xfId="0" applyNumberFormat="1" applyFont="1" applyFill="1" applyBorder="1" applyAlignment="1">
      <alignment horizontal="right"/>
    </xf>
    <xf numFmtId="166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0" fontId="29" fillId="6" borderId="0" xfId="0" applyFont="1" applyFill="1"/>
    <xf numFmtId="166" fontId="29" fillId="6" borderId="0" xfId="0" applyNumberFormat="1" applyFont="1" applyFill="1"/>
    <xf numFmtId="9" fontId="29" fillId="6" borderId="0" xfId="0" applyNumberFormat="1" applyFont="1" applyFill="1"/>
    <xf numFmtId="1" fontId="30" fillId="2" borderId="8" xfId="0" applyNumberFormat="1" applyFont="1" applyFill="1" applyBorder="1"/>
    <xf numFmtId="0" fontId="26" fillId="23" borderId="0" xfId="3" applyFill="1"/>
    <xf numFmtId="2" fontId="26" fillId="23" borderId="0" xfId="3" applyNumberFormat="1" applyFill="1" applyAlignment="1">
      <alignment horizontal="right"/>
    </xf>
    <xf numFmtId="0" fontId="25" fillId="24" borderId="0" xfId="0" applyFont="1" applyFill="1"/>
    <xf numFmtId="1" fontId="25" fillId="24" borderId="0" xfId="0" applyNumberFormat="1" applyFont="1" applyFill="1" applyAlignment="1">
      <alignment horizontal="right"/>
    </xf>
    <xf numFmtId="1" fontId="25" fillId="24" borderId="2" xfId="0" applyNumberFormat="1" applyFont="1" applyFill="1" applyBorder="1" applyAlignment="1">
      <alignment horizontal="right"/>
    </xf>
    <xf numFmtId="166" fontId="25" fillId="24" borderId="0" xfId="0" applyNumberFormat="1" applyFont="1" applyFill="1" applyAlignment="1">
      <alignment horizontal="right"/>
    </xf>
    <xf numFmtId="2" fontId="25" fillId="24" borderId="0" xfId="0" applyNumberFormat="1" applyFont="1" applyFill="1" applyAlignment="1">
      <alignment horizontal="right"/>
    </xf>
    <xf numFmtId="0" fontId="25" fillId="24" borderId="0" xfId="0" applyFont="1" applyFill="1" applyAlignment="1">
      <alignment horizontal="right"/>
    </xf>
    <xf numFmtId="9" fontId="25" fillId="24" borderId="0" xfId="0" applyNumberFormat="1" applyFont="1" applyFill="1" applyAlignment="1">
      <alignment horizontal="right"/>
    </xf>
    <xf numFmtId="0" fontId="25" fillId="24" borderId="0" xfId="0" applyFont="1" applyFill="1" applyAlignment="1">
      <alignment horizontal="left"/>
    </xf>
    <xf numFmtId="0" fontId="30" fillId="25" borderId="0" xfId="0" applyFont="1" applyFill="1" applyAlignment="1">
      <alignment horizontal="left"/>
    </xf>
    <xf numFmtId="1" fontId="30" fillId="25" borderId="0" xfId="0" applyNumberFormat="1" applyFont="1" applyFill="1" applyAlignment="1">
      <alignment horizontal="right"/>
    </xf>
    <xf numFmtId="1" fontId="30" fillId="25" borderId="2" xfId="0" applyNumberFormat="1" applyFont="1" applyFill="1" applyBorder="1" applyAlignment="1">
      <alignment horizontal="right"/>
    </xf>
    <xf numFmtId="2" fontId="30" fillId="25" borderId="0" xfId="0" applyNumberFormat="1" applyFont="1" applyFill="1" applyAlignment="1">
      <alignment horizontal="right"/>
    </xf>
    <xf numFmtId="166" fontId="30" fillId="25" borderId="0" xfId="0" applyNumberFormat="1" applyFont="1" applyFill="1" applyAlignment="1">
      <alignment horizontal="right"/>
    </xf>
    <xf numFmtId="2" fontId="31" fillId="25" borderId="0" xfId="0" applyNumberFormat="1" applyFont="1" applyFill="1" applyAlignment="1">
      <alignment horizontal="right"/>
    </xf>
    <xf numFmtId="0" fontId="30" fillId="25" borderId="0" xfId="0" applyFont="1" applyFill="1"/>
    <xf numFmtId="166" fontId="30" fillId="25" borderId="0" xfId="0" applyNumberFormat="1" applyFont="1" applyFill="1"/>
    <xf numFmtId="9" fontId="30" fillId="25" borderId="0" xfId="0" applyNumberFormat="1" applyFont="1" applyFill="1"/>
    <xf numFmtId="1" fontId="31" fillId="25" borderId="0" xfId="0" applyNumberFormat="1" applyFont="1" applyFill="1" applyAlignment="1">
      <alignment horizontal="right"/>
    </xf>
    <xf numFmtId="0" fontId="25" fillId="26" borderId="0" xfId="0" applyFont="1" applyFill="1"/>
    <xf numFmtId="1" fontId="25" fillId="26" borderId="0" xfId="0" applyNumberFormat="1" applyFont="1" applyFill="1" applyAlignment="1">
      <alignment horizontal="right"/>
    </xf>
    <xf numFmtId="1" fontId="25" fillId="26" borderId="2" xfId="0" applyNumberFormat="1" applyFont="1" applyFill="1" applyBorder="1" applyAlignment="1">
      <alignment horizontal="right"/>
    </xf>
    <xf numFmtId="2" fontId="25" fillId="26" borderId="0" xfId="0" applyNumberFormat="1" applyFont="1" applyFill="1" applyAlignment="1">
      <alignment horizontal="right"/>
    </xf>
    <xf numFmtId="2" fontId="27" fillId="26" borderId="0" xfId="0" applyNumberFormat="1" applyFont="1" applyFill="1" applyAlignment="1">
      <alignment horizontal="right"/>
    </xf>
    <xf numFmtId="166" fontId="25" fillId="26" borderId="0" xfId="0" applyNumberFormat="1" applyFont="1" applyFill="1" applyAlignment="1">
      <alignment horizontal="right"/>
    </xf>
    <xf numFmtId="0" fontId="25" fillId="26" borderId="0" xfId="0" applyFont="1" applyFill="1" applyAlignment="1">
      <alignment horizontal="right"/>
    </xf>
    <xf numFmtId="9" fontId="25" fillId="26" borderId="0" xfId="0" applyNumberFormat="1" applyFont="1" applyFill="1" applyAlignment="1">
      <alignment horizontal="right"/>
    </xf>
    <xf numFmtId="0" fontId="25" fillId="26" borderId="0" xfId="0" applyFont="1" applyFill="1" applyAlignment="1">
      <alignment horizontal="left"/>
    </xf>
    <xf numFmtId="167" fontId="25" fillId="26" borderId="0" xfId="0" applyNumberFormat="1" applyFont="1" applyFill="1" applyAlignment="1">
      <alignment horizontal="right"/>
    </xf>
    <xf numFmtId="167" fontId="30" fillId="25" borderId="0" xfId="0" applyNumberFormat="1" applyFont="1" applyFill="1" applyAlignment="1">
      <alignment horizontal="right"/>
    </xf>
    <xf numFmtId="0" fontId="30" fillId="25" borderId="14" xfId="0" applyFont="1" applyFill="1" applyBorder="1"/>
    <xf numFmtId="0" fontId="30" fillId="25" borderId="15" xfId="0" applyFont="1" applyFill="1" applyBorder="1"/>
    <xf numFmtId="0" fontId="30" fillId="25" borderId="0" xfId="2" applyFont="1" applyFill="1" applyAlignment="1">
      <alignment horizontal="left"/>
    </xf>
    <xf numFmtId="1" fontId="30" fillId="25" borderId="0" xfId="2" applyNumberFormat="1" applyFont="1" applyFill="1" applyAlignment="1">
      <alignment horizontal="right"/>
    </xf>
    <xf numFmtId="2" fontId="30" fillId="25" borderId="0" xfId="2" applyNumberFormat="1" applyFont="1" applyFill="1" applyAlignment="1">
      <alignment horizontal="right"/>
    </xf>
    <xf numFmtId="1" fontId="31" fillId="25" borderId="0" xfId="2" applyNumberFormat="1" applyFont="1" applyFill="1" applyAlignment="1">
      <alignment horizontal="right"/>
    </xf>
    <xf numFmtId="1" fontId="30" fillId="25" borderId="2" xfId="2" applyNumberFormat="1" applyFont="1" applyFill="1" applyBorder="1" applyAlignment="1">
      <alignment horizontal="right"/>
    </xf>
    <xf numFmtId="2" fontId="31" fillId="25" borderId="0" xfId="2" applyNumberFormat="1" applyFont="1" applyFill="1" applyAlignment="1">
      <alignment horizontal="right"/>
    </xf>
    <xf numFmtId="166" fontId="30" fillId="25" borderId="0" xfId="2" applyNumberFormat="1" applyFont="1" applyFill="1" applyAlignment="1">
      <alignment horizontal="right"/>
    </xf>
    <xf numFmtId="0" fontId="30" fillId="25" borderId="0" xfId="2" applyFont="1" applyFill="1"/>
    <xf numFmtId="166" fontId="30" fillId="25" borderId="0" xfId="2" applyNumberFormat="1" applyFont="1" applyFill="1"/>
    <xf numFmtId="9" fontId="30" fillId="25" borderId="0" xfId="2" applyNumberFormat="1" applyFont="1" applyFill="1"/>
    <xf numFmtId="0" fontId="47" fillId="2" borderId="0" xfId="0" applyFont="1" applyFill="1"/>
    <xf numFmtId="0" fontId="45" fillId="8" borderId="0" xfId="0" applyFont="1" applyFill="1"/>
    <xf numFmtId="0" fontId="45" fillId="2" borderId="0" xfId="0" applyFont="1" applyFill="1" applyAlignment="1">
      <alignment horizontal="left"/>
    </xf>
    <xf numFmtId="0" fontId="46" fillId="2" borderId="0" xfId="0" applyFont="1" applyFill="1" applyAlignment="1">
      <alignment horizontal="left"/>
    </xf>
    <xf numFmtId="0" fontId="45" fillId="2" borderId="0" xfId="2" applyFont="1" applyAlignment="1">
      <alignment horizontal="left"/>
    </xf>
    <xf numFmtId="2" fontId="26" fillId="20" borderId="0" xfId="3" applyNumberFormat="1" applyFill="1" applyAlignment="1">
      <alignment horizontal="right"/>
    </xf>
    <xf numFmtId="2" fontId="26" fillId="20" borderId="0" xfId="3" applyNumberFormat="1" applyFill="1"/>
    <xf numFmtId="2" fontId="27" fillId="11" borderId="0" xfId="0" applyNumberFormat="1" applyFont="1" applyFill="1" applyAlignment="1">
      <alignment horizontal="right"/>
    </xf>
    <xf numFmtId="1" fontId="27" fillId="8" borderId="0" xfId="0" applyNumberFormat="1" applyFont="1" applyFill="1" applyAlignment="1">
      <alignment horizontal="right"/>
    </xf>
    <xf numFmtId="1" fontId="27" fillId="26" borderId="0" xfId="0" applyNumberFormat="1" applyFont="1" applyFill="1" applyAlignment="1">
      <alignment horizontal="right"/>
    </xf>
    <xf numFmtId="2" fontId="48" fillId="0" borderId="0" xfId="3" applyNumberFormat="1" applyFont="1"/>
    <xf numFmtId="2" fontId="48" fillId="0" borderId="7" xfId="3" applyNumberFormat="1" applyFont="1" applyBorder="1"/>
    <xf numFmtId="0" fontId="49" fillId="0" borderId="3" xfId="3" applyFont="1" applyBorder="1"/>
    <xf numFmtId="0" fontId="37" fillId="0" borderId="7" xfId="3" applyFont="1" applyBorder="1" applyAlignment="1">
      <alignment wrapText="1"/>
    </xf>
    <xf numFmtId="0" fontId="37" fillId="0" borderId="9" xfId="3" applyFont="1" applyBorder="1" applyAlignment="1">
      <alignment wrapText="1"/>
    </xf>
    <xf numFmtId="2" fontId="18" fillId="14" borderId="0" xfId="3" applyNumberFormat="1" applyFont="1" applyFill="1" applyAlignment="1">
      <alignment horizontal="right"/>
    </xf>
    <xf numFmtId="2" fontId="18" fillId="20" borderId="0" xfId="3" applyNumberFormat="1" applyFont="1" applyFill="1" applyAlignment="1">
      <alignment horizontal="right"/>
    </xf>
    <xf numFmtId="2" fontId="26" fillId="23" borderId="0" xfId="3" applyNumberFormat="1" applyFill="1"/>
    <xf numFmtId="0" fontId="26" fillId="20" borderId="0" xfId="3" applyFill="1"/>
    <xf numFmtId="0" fontId="17" fillId="20" borderId="0" xfId="3" applyFont="1" applyFill="1"/>
    <xf numFmtId="2" fontId="17" fillId="20" borderId="0" xfId="3" applyNumberFormat="1" applyFont="1" applyFill="1" applyAlignment="1">
      <alignment horizontal="right"/>
    </xf>
    <xf numFmtId="2" fontId="17" fillId="20" borderId="0" xfId="3" applyNumberFormat="1" applyFont="1" applyFill="1"/>
    <xf numFmtId="0" fontId="17" fillId="27" borderId="0" xfId="3" applyFont="1" applyFill="1"/>
    <xf numFmtId="2" fontId="17" fillId="27" borderId="0" xfId="3" applyNumberFormat="1" applyFont="1" applyFill="1"/>
    <xf numFmtId="0" fontId="17" fillId="14" borderId="0" xfId="3" applyFont="1" applyFill="1"/>
    <xf numFmtId="2" fontId="17" fillId="14" borderId="0" xfId="3" applyNumberFormat="1" applyFont="1" applyFill="1" applyAlignment="1">
      <alignment horizontal="right"/>
    </xf>
    <xf numFmtId="2" fontId="17" fillId="14" borderId="0" xfId="3" applyNumberFormat="1" applyFont="1" applyFill="1"/>
    <xf numFmtId="2" fontId="17" fillId="0" borderId="0" xfId="3" applyNumberFormat="1" applyFont="1"/>
    <xf numFmtId="2" fontId="17" fillId="0" borderId="0" xfId="3" applyNumberFormat="1" applyFont="1" applyAlignment="1">
      <alignment horizontal="right"/>
    </xf>
    <xf numFmtId="0" fontId="37" fillId="0" borderId="4" xfId="3" applyFont="1" applyBorder="1" applyAlignment="1">
      <alignment wrapText="1"/>
    </xf>
    <xf numFmtId="0" fontId="37" fillId="0" borderId="5" xfId="3" applyFont="1" applyBorder="1" applyAlignment="1">
      <alignment wrapText="1"/>
    </xf>
    <xf numFmtId="0" fontId="48" fillId="0" borderId="4" xfId="3" applyFont="1" applyBorder="1" applyAlignment="1">
      <alignment wrapText="1"/>
    </xf>
    <xf numFmtId="2" fontId="48" fillId="0" borderId="0" xfId="3" applyNumberFormat="1" applyFont="1" applyAlignment="1">
      <alignment wrapText="1"/>
    </xf>
    <xf numFmtId="2" fontId="48" fillId="0" borderId="7" xfId="3" applyNumberFormat="1" applyFont="1" applyBorder="1" applyAlignment="1">
      <alignment wrapText="1"/>
    </xf>
    <xf numFmtId="167" fontId="26" fillId="23" borderId="0" xfId="3" applyNumberFormat="1" applyFill="1"/>
    <xf numFmtId="2" fontId="17" fillId="16" borderId="0" xfId="3" applyNumberFormat="1" applyFont="1" applyFill="1" applyAlignment="1">
      <alignment horizontal="right"/>
    </xf>
    <xf numFmtId="2" fontId="18" fillId="16" borderId="0" xfId="3" applyNumberFormat="1" applyFont="1" applyFill="1" applyAlignment="1">
      <alignment horizontal="right"/>
    </xf>
    <xf numFmtId="2" fontId="15" fillId="20" borderId="0" xfId="3" applyNumberFormat="1" applyFont="1" applyFill="1" applyAlignment="1">
      <alignment horizontal="right"/>
    </xf>
    <xf numFmtId="2" fontId="50" fillId="16" borderId="0" xfId="3" applyNumberFormat="1" applyFont="1" applyFill="1" applyAlignment="1">
      <alignment horizontal="right"/>
    </xf>
    <xf numFmtId="2" fontId="16" fillId="16" borderId="0" xfId="3" applyNumberFormat="1" applyFont="1" applyFill="1" applyAlignment="1">
      <alignment horizontal="right"/>
    </xf>
    <xf numFmtId="2" fontId="15" fillId="0" borderId="0" xfId="3" applyNumberFormat="1" applyFont="1"/>
    <xf numFmtId="2" fontId="15" fillId="0" borderId="7" xfId="3" applyNumberFormat="1" applyFont="1" applyBorder="1"/>
    <xf numFmtId="0" fontId="15" fillId="0" borderId="4" xfId="3" applyFont="1" applyBorder="1" applyAlignment="1">
      <alignment wrapText="1"/>
    </xf>
    <xf numFmtId="0" fontId="15" fillId="0" borderId="5" xfId="3" applyFont="1" applyBorder="1" applyAlignment="1">
      <alignment wrapText="1"/>
    </xf>
    <xf numFmtId="0" fontId="15" fillId="0" borderId="4" xfId="3" applyFont="1" applyBorder="1"/>
    <xf numFmtId="0" fontId="15" fillId="0" borderId="5" xfId="3" applyFont="1" applyBorder="1"/>
    <xf numFmtId="0" fontId="48" fillId="0" borderId="0" xfId="3" applyFont="1"/>
    <xf numFmtId="0" fontId="15" fillId="0" borderId="0" xfId="3" applyFont="1"/>
    <xf numFmtId="0" fontId="15" fillId="0" borderId="3" xfId="3" applyFont="1" applyBorder="1"/>
    <xf numFmtId="0" fontId="15" fillId="0" borderId="20" xfId="3" applyFont="1" applyBorder="1"/>
    <xf numFmtId="2" fontId="15" fillId="0" borderId="21" xfId="3" applyNumberFormat="1" applyFont="1" applyBorder="1"/>
    <xf numFmtId="0" fontId="15" fillId="0" borderId="6" xfId="3" applyFont="1" applyBorder="1"/>
    <xf numFmtId="2" fontId="15" fillId="0" borderId="9" xfId="3" applyNumberFormat="1" applyFont="1" applyBorder="1"/>
    <xf numFmtId="0" fontId="51" fillId="0" borderId="3" xfId="3" applyFont="1" applyBorder="1"/>
    <xf numFmtId="0" fontId="15" fillId="0" borderId="7" xfId="3" applyFont="1" applyBorder="1"/>
    <xf numFmtId="0" fontId="15" fillId="0" borderId="9" xfId="3" applyFont="1" applyBorder="1"/>
    <xf numFmtId="2" fontId="15" fillId="0" borderId="0" xfId="3" applyNumberFormat="1" applyFont="1" applyAlignment="1">
      <alignment horizontal="right"/>
    </xf>
    <xf numFmtId="167" fontId="15" fillId="0" borderId="0" xfId="3" applyNumberFormat="1" applyFont="1"/>
    <xf numFmtId="0" fontId="15" fillId="0" borderId="3" xfId="3" applyFont="1" applyBorder="1" applyAlignment="1">
      <alignment wrapText="1"/>
    </xf>
    <xf numFmtId="0" fontId="15" fillId="0" borderId="30" xfId="3" applyFont="1" applyBorder="1"/>
    <xf numFmtId="0" fontId="15" fillId="0" borderId="31" xfId="3" applyFont="1" applyBorder="1"/>
    <xf numFmtId="0" fontId="14" fillId="0" borderId="0" xfId="3" applyFont="1"/>
    <xf numFmtId="2" fontId="37" fillId="28" borderId="0" xfId="3" applyNumberFormat="1" applyFont="1" applyFill="1"/>
    <xf numFmtId="168" fontId="26" fillId="14" borderId="0" xfId="3" applyNumberFormat="1" applyFill="1"/>
    <xf numFmtId="168" fontId="26" fillId="23" borderId="0" xfId="3" applyNumberFormat="1" applyFill="1"/>
    <xf numFmtId="167" fontId="17" fillId="14" borderId="0" xfId="3" applyNumberFormat="1" applyFont="1" applyFill="1"/>
    <xf numFmtId="167" fontId="17" fillId="20" borderId="0" xfId="3" applyNumberFormat="1" applyFont="1" applyFill="1"/>
    <xf numFmtId="167" fontId="26" fillId="16" borderId="0" xfId="3" applyNumberFormat="1" applyFill="1" applyAlignment="1">
      <alignment horizontal="right"/>
    </xf>
    <xf numFmtId="168" fontId="26" fillId="16" borderId="0" xfId="3" applyNumberFormat="1" applyFill="1" applyAlignment="1">
      <alignment horizontal="right"/>
    </xf>
    <xf numFmtId="169" fontId="26" fillId="16" borderId="0" xfId="3" applyNumberFormat="1" applyFill="1" applyAlignment="1">
      <alignment horizontal="right"/>
    </xf>
    <xf numFmtId="168" fontId="26" fillId="16" borderId="0" xfId="3" applyNumberFormat="1" applyFill="1"/>
    <xf numFmtId="169" fontId="26" fillId="16" borderId="0" xfId="3" applyNumberFormat="1" applyFill="1"/>
    <xf numFmtId="167" fontId="26" fillId="14" borderId="0" xfId="3" applyNumberFormat="1" applyFill="1" applyAlignment="1">
      <alignment horizontal="right"/>
    </xf>
    <xf numFmtId="167" fontId="26" fillId="20" borderId="0" xfId="3" applyNumberFormat="1" applyFill="1" applyAlignment="1">
      <alignment horizontal="right"/>
    </xf>
    <xf numFmtId="0" fontId="15" fillId="0" borderId="0" xfId="3" applyFont="1" applyAlignment="1">
      <alignment wrapText="1"/>
    </xf>
    <xf numFmtId="167" fontId="26" fillId="15" borderId="0" xfId="3" applyNumberFormat="1" applyFill="1"/>
    <xf numFmtId="167" fontId="26" fillId="15" borderId="0" xfId="3" applyNumberFormat="1" applyFill="1" applyAlignment="1">
      <alignment horizontal="right"/>
    </xf>
    <xf numFmtId="2" fontId="22" fillId="16" borderId="0" xfId="3" applyNumberFormat="1" applyFont="1" applyFill="1"/>
    <xf numFmtId="2" fontId="22" fillId="0" borderId="0" xfId="3" applyNumberFormat="1" applyFont="1"/>
    <xf numFmtId="2" fontId="35" fillId="0" borderId="0" xfId="3" applyNumberFormat="1" applyFont="1"/>
    <xf numFmtId="2" fontId="30" fillId="16" borderId="0" xfId="0" applyNumberFormat="1" applyFont="1" applyFill="1"/>
    <xf numFmtId="0" fontId="12" fillId="14" borderId="0" xfId="3" applyFont="1" applyFill="1"/>
    <xf numFmtId="0" fontId="22" fillId="2" borderId="0" xfId="0" applyFont="1" applyFill="1" applyAlignment="1">
      <alignment horizontal="left"/>
    </xf>
    <xf numFmtId="2" fontId="22" fillId="2" borderId="0" xfId="0" applyNumberFormat="1" applyFont="1" applyFill="1"/>
    <xf numFmtId="2" fontId="22" fillId="2" borderId="2" xfId="0" applyNumberFormat="1" applyFont="1" applyFill="1" applyBorder="1"/>
    <xf numFmtId="169" fontId="26" fillId="14" borderId="0" xfId="3" applyNumberFormat="1" applyFill="1"/>
    <xf numFmtId="172" fontId="26" fillId="14" borderId="0" xfId="3" applyNumberFormat="1" applyFill="1"/>
    <xf numFmtId="2" fontId="48" fillId="16" borderId="0" xfId="3" applyNumberFormat="1" applyFont="1" applyFill="1" applyAlignment="1">
      <alignment horizontal="right"/>
    </xf>
    <xf numFmtId="2" fontId="48" fillId="16" borderId="0" xfId="3" applyNumberFormat="1" applyFont="1" applyFill="1"/>
    <xf numFmtId="2" fontId="11" fillId="16" borderId="0" xfId="3" applyNumberFormat="1" applyFont="1" applyFill="1"/>
    <xf numFmtId="2" fontId="52" fillId="16" borderId="0" xfId="3" applyNumberFormat="1" applyFont="1" applyFill="1"/>
    <xf numFmtId="2" fontId="11" fillId="15" borderId="0" xfId="3" applyNumberFormat="1" applyFont="1" applyFill="1"/>
    <xf numFmtId="2" fontId="11" fillId="16" borderId="0" xfId="3" applyNumberFormat="1" applyFont="1" applyFill="1" applyAlignment="1">
      <alignment horizontal="right"/>
    </xf>
    <xf numFmtId="167" fontId="48" fillId="16" borderId="0" xfId="3" applyNumberFormat="1" applyFont="1" applyFill="1"/>
    <xf numFmtId="167" fontId="48" fillId="16" borderId="0" xfId="3" applyNumberFormat="1" applyFont="1" applyFill="1" applyAlignment="1">
      <alignment horizontal="right"/>
    </xf>
    <xf numFmtId="2" fontId="53" fillId="16" borderId="0" xfId="3" applyNumberFormat="1" applyFont="1" applyFill="1"/>
    <xf numFmtId="168" fontId="53" fillId="16" borderId="0" xfId="3" applyNumberFormat="1" applyFont="1" applyFill="1" applyAlignment="1">
      <alignment horizontal="right"/>
    </xf>
    <xf numFmtId="0" fontId="11" fillId="0" borderId="4" xfId="3" applyFont="1" applyBorder="1" applyAlignment="1">
      <alignment wrapText="1"/>
    </xf>
    <xf numFmtId="0" fontId="26" fillId="16" borderId="0" xfId="3" applyFill="1"/>
    <xf numFmtId="0" fontId="11" fillId="15" borderId="0" xfId="3" applyFont="1" applyFill="1"/>
    <xf numFmtId="1" fontId="30" fillId="13" borderId="5" xfId="0" applyNumberFormat="1" applyFont="1" applyFill="1" applyBorder="1" applyAlignment="1">
      <alignment horizontal="right"/>
    </xf>
    <xf numFmtId="1" fontId="30" fillId="13" borderId="9" xfId="0" applyNumberFormat="1" applyFont="1" applyFill="1" applyBorder="1" applyAlignment="1">
      <alignment horizontal="right"/>
    </xf>
    <xf numFmtId="166" fontId="31" fillId="4" borderId="0" xfId="0" applyNumberFormat="1" applyFont="1" applyFill="1" applyAlignment="1">
      <alignment horizontal="right"/>
    </xf>
    <xf numFmtId="2" fontId="31" fillId="3" borderId="4" xfId="0" applyNumberFormat="1" applyFont="1" applyFill="1" applyBorder="1" applyAlignment="1">
      <alignment horizontal="right"/>
    </xf>
    <xf numFmtId="2" fontId="31" fillId="3" borderId="7" xfId="0" applyNumberFormat="1" applyFont="1" applyFill="1" applyBorder="1" applyAlignment="1">
      <alignment horizontal="right"/>
    </xf>
    <xf numFmtId="0" fontId="30" fillId="7" borderId="10" xfId="0" applyFont="1" applyFill="1" applyBorder="1" applyAlignment="1">
      <alignment horizontal="left"/>
    </xf>
    <xf numFmtId="1" fontId="30" fillId="7" borderId="11" xfId="0" applyNumberFormat="1" applyFont="1" applyFill="1" applyBorder="1" applyAlignment="1">
      <alignment horizontal="right"/>
    </xf>
    <xf numFmtId="2" fontId="30" fillId="7" borderId="11" xfId="0" applyNumberFormat="1" applyFont="1" applyFill="1" applyBorder="1" applyAlignment="1">
      <alignment horizontal="right"/>
    </xf>
    <xf numFmtId="1" fontId="30" fillId="7" borderId="12" xfId="0" applyNumberFormat="1" applyFont="1" applyFill="1" applyBorder="1" applyAlignment="1">
      <alignment horizontal="right"/>
    </xf>
    <xf numFmtId="166" fontId="30" fillId="7" borderId="11" xfId="0" applyNumberFormat="1" applyFont="1" applyFill="1" applyBorder="1" applyAlignment="1">
      <alignment horizontal="right"/>
    </xf>
    <xf numFmtId="2" fontId="31" fillId="7" borderId="11" xfId="0" applyNumberFormat="1" applyFont="1" applyFill="1" applyBorder="1" applyAlignment="1">
      <alignment horizontal="right"/>
    </xf>
    <xf numFmtId="0" fontId="30" fillId="7" borderId="11" xfId="0" applyFont="1" applyFill="1" applyBorder="1"/>
    <xf numFmtId="166" fontId="30" fillId="7" borderId="11" xfId="0" applyNumberFormat="1" applyFont="1" applyFill="1" applyBorder="1"/>
    <xf numFmtId="9" fontId="30" fillId="7" borderId="11" xfId="0" applyNumberFormat="1" applyFont="1" applyFill="1" applyBorder="1"/>
    <xf numFmtId="0" fontId="30" fillId="7" borderId="13" xfId="0" applyFont="1" applyFill="1" applyBorder="1"/>
    <xf numFmtId="0" fontId="24" fillId="5" borderId="14" xfId="0" applyFont="1" applyFill="1" applyBorder="1" applyAlignment="1">
      <alignment horizontal="left"/>
    </xf>
    <xf numFmtId="2" fontId="54" fillId="5" borderId="0" xfId="0" applyNumberFormat="1" applyFont="1" applyFill="1" applyAlignment="1">
      <alignment horizontal="right"/>
    </xf>
    <xf numFmtId="2" fontId="24" fillId="5" borderId="0" xfId="0" applyNumberFormat="1" applyFont="1" applyFill="1" applyAlignment="1">
      <alignment horizontal="right"/>
    </xf>
    <xf numFmtId="1" fontId="24" fillId="5" borderId="0" xfId="0" applyNumberFormat="1" applyFont="1" applyFill="1" applyAlignment="1">
      <alignment horizontal="right"/>
    </xf>
    <xf numFmtId="1" fontId="24" fillId="5" borderId="2" xfId="0" applyNumberFormat="1" applyFont="1" applyFill="1" applyBorder="1" applyAlignment="1">
      <alignment horizontal="right"/>
    </xf>
    <xf numFmtId="0" fontId="24" fillId="5" borderId="0" xfId="0" applyFont="1" applyFill="1"/>
    <xf numFmtId="166" fontId="24" fillId="5" borderId="0" xfId="0" applyNumberFormat="1" applyFont="1" applyFill="1"/>
    <xf numFmtId="9" fontId="24" fillId="5" borderId="0" xfId="0" applyNumberFormat="1" applyFont="1" applyFill="1"/>
    <xf numFmtId="0" fontId="24" fillId="5" borderId="15" xfId="0" applyFont="1" applyFill="1" applyBorder="1"/>
    <xf numFmtId="0" fontId="10" fillId="0" borderId="0" xfId="3" applyFont="1"/>
    <xf numFmtId="0" fontId="10" fillId="0" borderId="0" xfId="0" applyFont="1"/>
    <xf numFmtId="167" fontId="26" fillId="23" borderId="0" xfId="3" applyNumberFormat="1" applyFill="1" applyAlignment="1">
      <alignment horizontal="right"/>
    </xf>
    <xf numFmtId="1" fontId="26" fillId="20" borderId="0" xfId="3" applyNumberFormat="1" applyFill="1"/>
    <xf numFmtId="0" fontId="26" fillId="0" borderId="11" xfId="3" applyBorder="1"/>
    <xf numFmtId="0" fontId="26" fillId="0" borderId="10" xfId="3" applyBorder="1"/>
    <xf numFmtId="0" fontId="26" fillId="0" borderId="13" xfId="3" applyBorder="1"/>
    <xf numFmtId="0" fontId="26" fillId="0" borderId="14" xfId="3" applyBorder="1"/>
    <xf numFmtId="0" fontId="26" fillId="0" borderId="15" xfId="3" applyBorder="1"/>
    <xf numFmtId="2" fontId="26" fillId="16" borderId="14" xfId="3" applyNumberFormat="1" applyFill="1" applyBorder="1" applyAlignment="1">
      <alignment horizontal="right"/>
    </xf>
    <xf numFmtId="2" fontId="26" fillId="16" borderId="15" xfId="3" applyNumberFormat="1" applyFill="1" applyBorder="1"/>
    <xf numFmtId="2" fontId="26" fillId="15" borderId="14" xfId="3" applyNumberFormat="1" applyFill="1" applyBorder="1" applyAlignment="1">
      <alignment horizontal="right"/>
    </xf>
    <xf numFmtId="2" fontId="26" fillId="15" borderId="15" xfId="3" applyNumberFormat="1" applyFill="1" applyBorder="1"/>
    <xf numFmtId="0" fontId="10" fillId="0" borderId="32" xfId="3" applyFont="1" applyBorder="1"/>
    <xf numFmtId="0" fontId="26" fillId="0" borderId="33" xfId="3" applyBorder="1"/>
    <xf numFmtId="1" fontId="26" fillId="20" borderId="33" xfId="3" applyNumberFormat="1" applyFill="1" applyBorder="1"/>
    <xf numFmtId="1" fontId="26" fillId="23" borderId="33" xfId="3" applyNumberFormat="1" applyFill="1" applyBorder="1"/>
    <xf numFmtId="167" fontId="26" fillId="15" borderId="33" xfId="3" applyNumberFormat="1" applyFill="1" applyBorder="1"/>
    <xf numFmtId="2" fontId="26" fillId="16" borderId="14" xfId="3" applyNumberFormat="1" applyFill="1" applyBorder="1"/>
    <xf numFmtId="0" fontId="26" fillId="16" borderId="15" xfId="3" applyFill="1" applyBorder="1"/>
    <xf numFmtId="2" fontId="26" fillId="15" borderId="14" xfId="3" applyNumberFormat="1" applyFill="1" applyBorder="1"/>
    <xf numFmtId="168" fontId="26" fillId="15" borderId="0" xfId="3" applyNumberFormat="1" applyFill="1"/>
    <xf numFmtId="167" fontId="26" fillId="23" borderId="15" xfId="3" applyNumberFormat="1" applyFill="1" applyBorder="1"/>
    <xf numFmtId="167" fontId="26" fillId="16" borderId="15" xfId="3" applyNumberFormat="1" applyFill="1" applyBorder="1"/>
    <xf numFmtId="2" fontId="26" fillId="14" borderId="14" xfId="3" applyNumberFormat="1" applyFill="1" applyBorder="1"/>
    <xf numFmtId="167" fontId="26" fillId="20" borderId="15" xfId="3" applyNumberFormat="1" applyFill="1" applyBorder="1"/>
    <xf numFmtId="0" fontId="11" fillId="0" borderId="11" xfId="3" applyFont="1" applyBorder="1"/>
    <xf numFmtId="0" fontId="11" fillId="0" borderId="13" xfId="3" applyFont="1" applyBorder="1"/>
    <xf numFmtId="0" fontId="26" fillId="16" borderId="14" xfId="3" applyFill="1" applyBorder="1"/>
    <xf numFmtId="167" fontId="26" fillId="16" borderId="14" xfId="3" applyNumberFormat="1" applyFill="1" applyBorder="1"/>
    <xf numFmtId="167" fontId="26" fillId="23" borderId="14" xfId="3" applyNumberFormat="1" applyFill="1" applyBorder="1"/>
    <xf numFmtId="167" fontId="50" fillId="16" borderId="14" xfId="3" applyNumberFormat="1" applyFont="1" applyFill="1" applyBorder="1"/>
    <xf numFmtId="167" fontId="50" fillId="16" borderId="0" xfId="3" applyNumberFormat="1" applyFont="1" applyFill="1"/>
    <xf numFmtId="167" fontId="50" fillId="16" borderId="15" xfId="3" applyNumberFormat="1" applyFont="1" applyFill="1" applyBorder="1"/>
    <xf numFmtId="167" fontId="26" fillId="20" borderId="14" xfId="3" applyNumberFormat="1" applyFill="1" applyBorder="1"/>
    <xf numFmtId="0" fontId="10" fillId="0" borderId="10" xfId="3" applyFont="1" applyBorder="1"/>
    <xf numFmtId="0" fontId="10" fillId="0" borderId="11" xfId="3" applyFont="1" applyBorder="1"/>
    <xf numFmtId="167" fontId="26" fillId="15" borderId="15" xfId="3" applyNumberFormat="1" applyFill="1" applyBorder="1"/>
    <xf numFmtId="2" fontId="26" fillId="23" borderId="14" xfId="3" applyNumberFormat="1" applyFill="1" applyBorder="1"/>
    <xf numFmtId="2" fontId="26" fillId="20" borderId="14" xfId="3" applyNumberFormat="1" applyFill="1" applyBorder="1" applyAlignment="1">
      <alignment horizontal="right"/>
    </xf>
    <xf numFmtId="167" fontId="26" fillId="14" borderId="15" xfId="3" applyNumberFormat="1" applyFill="1" applyBorder="1"/>
    <xf numFmtId="169" fontId="26" fillId="20" borderId="0" xfId="3" applyNumberFormat="1" applyFill="1"/>
    <xf numFmtId="169" fontId="26" fillId="20" borderId="15" xfId="3" applyNumberFormat="1" applyFill="1" applyBorder="1"/>
    <xf numFmtId="0" fontId="26" fillId="0" borderId="32" xfId="3" applyBorder="1"/>
    <xf numFmtId="168" fontId="26" fillId="14" borderId="33" xfId="3" applyNumberFormat="1" applyFill="1" applyBorder="1"/>
    <xf numFmtId="169" fontId="26" fillId="14" borderId="33" xfId="3" applyNumberFormat="1" applyFill="1" applyBorder="1"/>
    <xf numFmtId="167" fontId="26" fillId="14" borderId="14" xfId="3" applyNumberFormat="1" applyFill="1" applyBorder="1"/>
    <xf numFmtId="0" fontId="10" fillId="0" borderId="13" xfId="3" applyFont="1" applyBorder="1"/>
    <xf numFmtId="167" fontId="26" fillId="20" borderId="33" xfId="3" applyNumberFormat="1" applyFill="1" applyBorder="1"/>
    <xf numFmtId="167" fontId="26" fillId="14" borderId="33" xfId="3" applyNumberFormat="1" applyFill="1" applyBorder="1"/>
    <xf numFmtId="167" fontId="26" fillId="23" borderId="33" xfId="3" applyNumberFormat="1" applyFill="1" applyBorder="1"/>
    <xf numFmtId="0" fontId="13" fillId="14" borderId="0" xfId="3" applyFont="1" applyFill="1"/>
    <xf numFmtId="2" fontId="18" fillId="16" borderId="14" xfId="3" applyNumberFormat="1" applyFont="1" applyFill="1" applyBorder="1" applyAlignment="1">
      <alignment horizontal="right"/>
    </xf>
    <xf numFmtId="2" fontId="18" fillId="16" borderId="15" xfId="3" applyNumberFormat="1" applyFont="1" applyFill="1" applyBorder="1" applyAlignment="1">
      <alignment horizontal="right"/>
    </xf>
    <xf numFmtId="2" fontId="17" fillId="20" borderId="14" xfId="3" applyNumberFormat="1" applyFont="1" applyFill="1" applyBorder="1" applyAlignment="1">
      <alignment horizontal="right"/>
    </xf>
    <xf numFmtId="167" fontId="17" fillId="20" borderId="15" xfId="3" applyNumberFormat="1" applyFont="1" applyFill="1" applyBorder="1"/>
    <xf numFmtId="2" fontId="17" fillId="16" borderId="0" xfId="3" applyNumberFormat="1" applyFont="1" applyFill="1"/>
    <xf numFmtId="169" fontId="26" fillId="20" borderId="14" xfId="3" applyNumberFormat="1" applyFill="1" applyBorder="1" applyAlignment="1">
      <alignment horizontal="right"/>
    </xf>
    <xf numFmtId="168" fontId="26" fillId="20" borderId="33" xfId="3" applyNumberFormat="1" applyFill="1" applyBorder="1"/>
    <xf numFmtId="2" fontId="26" fillId="20" borderId="33" xfId="3" applyNumberFormat="1" applyFill="1" applyBorder="1"/>
    <xf numFmtId="2" fontId="17" fillId="20" borderId="33" xfId="3" applyNumberFormat="1" applyFont="1" applyFill="1" applyBorder="1"/>
    <xf numFmtId="169" fontId="26" fillId="20" borderId="33" xfId="3" applyNumberFormat="1" applyFill="1" applyBorder="1"/>
    <xf numFmtId="0" fontId="10" fillId="0" borderId="15" xfId="0" applyFont="1" applyBorder="1"/>
    <xf numFmtId="2" fontId="17" fillId="16" borderId="14" xfId="3" applyNumberFormat="1" applyFont="1" applyFill="1" applyBorder="1"/>
    <xf numFmtId="167" fontId="17" fillId="16" borderId="0" xfId="3" applyNumberFormat="1" applyFont="1" applyFill="1"/>
    <xf numFmtId="167" fontId="10" fillId="16" borderId="15" xfId="0" applyNumberFormat="1" applyFont="1" applyFill="1" applyBorder="1"/>
    <xf numFmtId="2" fontId="17" fillId="20" borderId="14" xfId="3" applyNumberFormat="1" applyFont="1" applyFill="1" applyBorder="1"/>
    <xf numFmtId="167" fontId="10" fillId="20" borderId="15" xfId="0" applyNumberFormat="1" applyFont="1" applyFill="1" applyBorder="1"/>
    <xf numFmtId="2" fontId="26" fillId="20" borderId="14" xfId="3" applyNumberFormat="1" applyFill="1" applyBorder="1"/>
    <xf numFmtId="0" fontId="10" fillId="16" borderId="0" xfId="0" applyFont="1" applyFill="1"/>
    <xf numFmtId="167" fontId="10" fillId="16" borderId="0" xfId="0" applyNumberFormat="1" applyFont="1" applyFill="1"/>
    <xf numFmtId="167" fontId="10" fillId="20" borderId="0" xfId="0" applyNumberFormat="1" applyFont="1" applyFill="1"/>
    <xf numFmtId="0" fontId="10" fillId="0" borderId="14" xfId="0" applyFont="1" applyBorder="1"/>
    <xf numFmtId="167" fontId="10" fillId="16" borderId="14" xfId="0" applyNumberFormat="1" applyFont="1" applyFill="1" applyBorder="1"/>
    <xf numFmtId="167" fontId="50" fillId="20" borderId="14" xfId="0" applyNumberFormat="1" applyFont="1" applyFill="1" applyBorder="1"/>
    <xf numFmtId="167" fontId="50" fillId="20" borderId="0" xfId="0" applyNumberFormat="1" applyFont="1" applyFill="1"/>
    <xf numFmtId="167" fontId="50" fillId="20" borderId="15" xfId="0" applyNumberFormat="1" applyFont="1" applyFill="1" applyBorder="1"/>
    <xf numFmtId="167" fontId="50" fillId="16" borderId="14" xfId="0" applyNumberFormat="1" applyFont="1" applyFill="1" applyBorder="1"/>
    <xf numFmtId="167" fontId="50" fillId="16" borderId="0" xfId="0" applyNumberFormat="1" applyFont="1" applyFill="1"/>
    <xf numFmtId="167" fontId="50" fillId="16" borderId="15" xfId="0" applyNumberFormat="1" applyFont="1" applyFill="1" applyBorder="1"/>
    <xf numFmtId="167" fontId="10" fillId="20" borderId="14" xfId="0" applyNumberFormat="1" applyFont="1" applyFill="1" applyBorder="1"/>
    <xf numFmtId="2" fontId="26" fillId="16" borderId="15" xfId="3" applyNumberFormat="1" applyFill="1" applyBorder="1" applyAlignment="1">
      <alignment horizontal="right"/>
    </xf>
    <xf numFmtId="170" fontId="26" fillId="16" borderId="14" xfId="3" applyNumberFormat="1" applyFill="1" applyBorder="1" applyAlignment="1">
      <alignment horizontal="right"/>
    </xf>
    <xf numFmtId="170" fontId="26" fillId="16" borderId="0" xfId="3" applyNumberFormat="1" applyFill="1"/>
    <xf numFmtId="167" fontId="17" fillId="14" borderId="33" xfId="3" applyNumberFormat="1" applyFont="1" applyFill="1" applyBorder="1"/>
    <xf numFmtId="168" fontId="17" fillId="20" borderId="0" xfId="3" applyNumberFormat="1" applyFont="1" applyFill="1"/>
    <xf numFmtId="2" fontId="17" fillId="14" borderId="14" xfId="3" applyNumberFormat="1" applyFont="1" applyFill="1" applyBorder="1"/>
    <xf numFmtId="167" fontId="10" fillId="23" borderId="15" xfId="0" applyNumberFormat="1" applyFont="1" applyFill="1" applyBorder="1"/>
    <xf numFmtId="167" fontId="10" fillId="23" borderId="0" xfId="0" applyNumberFormat="1" applyFont="1" applyFill="1"/>
    <xf numFmtId="167" fontId="10" fillId="23" borderId="14" xfId="0" applyNumberFormat="1" applyFont="1" applyFill="1" applyBorder="1"/>
    <xf numFmtId="167" fontId="17" fillId="14" borderId="14" xfId="3" applyNumberFormat="1" applyFont="1" applyFill="1" applyBorder="1" applyAlignment="1">
      <alignment horizontal="right"/>
    </xf>
    <xf numFmtId="167" fontId="26" fillId="14" borderId="14" xfId="3" applyNumberFormat="1" applyFill="1" applyBorder="1" applyAlignment="1">
      <alignment horizontal="right"/>
    </xf>
    <xf numFmtId="167" fontId="17" fillId="16" borderId="14" xfId="3" applyNumberFormat="1" applyFont="1" applyFill="1" applyBorder="1"/>
    <xf numFmtId="0" fontId="10" fillId="0" borderId="11" xfId="0" applyFont="1" applyBorder="1"/>
    <xf numFmtId="0" fontId="9" fillId="0" borderId="0" xfId="3" applyFont="1"/>
    <xf numFmtId="0" fontId="35" fillId="29" borderId="10" xfId="3" applyFont="1" applyFill="1" applyBorder="1" applyAlignment="1">
      <alignment horizontal="left"/>
    </xf>
    <xf numFmtId="2" fontId="35" fillId="29" borderId="11" xfId="3" applyNumberFormat="1" applyFont="1" applyFill="1" applyBorder="1" applyAlignment="1">
      <alignment horizontal="right"/>
    </xf>
    <xf numFmtId="2" fontId="36" fillId="29" borderId="11" xfId="3" applyNumberFormat="1" applyFont="1" applyFill="1" applyBorder="1" applyAlignment="1">
      <alignment horizontal="right"/>
    </xf>
    <xf numFmtId="1" fontId="35" fillId="29" borderId="12" xfId="3" applyNumberFormat="1" applyFont="1" applyFill="1" applyBorder="1" applyAlignment="1">
      <alignment horizontal="right"/>
    </xf>
    <xf numFmtId="1" fontId="35" fillId="29" borderId="11" xfId="3" applyNumberFormat="1" applyFont="1" applyFill="1" applyBorder="1" applyAlignment="1">
      <alignment horizontal="right"/>
    </xf>
    <xf numFmtId="1" fontId="39" fillId="29" borderId="11" xfId="3" applyNumberFormat="1" applyFont="1" applyFill="1" applyBorder="1" applyAlignment="1">
      <alignment horizontal="right"/>
    </xf>
    <xf numFmtId="166" fontId="35" fillId="29" borderId="11" xfId="3" applyNumberFormat="1" applyFont="1" applyFill="1" applyBorder="1" applyAlignment="1">
      <alignment horizontal="right"/>
    </xf>
    <xf numFmtId="0" fontId="35" fillId="29" borderId="11" xfId="3" applyFont="1" applyFill="1" applyBorder="1"/>
    <xf numFmtId="166" fontId="35" fillId="29" borderId="11" xfId="3" applyNumberFormat="1" applyFont="1" applyFill="1" applyBorder="1"/>
    <xf numFmtId="9" fontId="35" fillId="29" borderId="11" xfId="3" applyNumberFormat="1" applyFont="1" applyFill="1" applyBorder="1"/>
    <xf numFmtId="0" fontId="35" fillId="29" borderId="13" xfId="3" applyFont="1" applyFill="1" applyBorder="1"/>
    <xf numFmtId="0" fontId="35" fillId="29" borderId="14" xfId="3" applyFont="1" applyFill="1" applyBorder="1" applyAlignment="1">
      <alignment horizontal="left"/>
    </xf>
    <xf numFmtId="2" fontId="35" fillId="29" borderId="0" xfId="3" applyNumberFormat="1" applyFont="1" applyFill="1" applyAlignment="1">
      <alignment horizontal="right"/>
    </xf>
    <xf numFmtId="166" fontId="35" fillId="29" borderId="0" xfId="3" applyNumberFormat="1" applyFont="1" applyFill="1" applyAlignment="1">
      <alignment horizontal="right"/>
    </xf>
    <xf numFmtId="1" fontId="35" fillId="29" borderId="2" xfId="3" applyNumberFormat="1" applyFont="1" applyFill="1" applyBorder="1" applyAlignment="1">
      <alignment horizontal="right"/>
    </xf>
    <xf numFmtId="1" fontId="35" fillId="29" borderId="0" xfId="3" applyNumberFormat="1" applyFont="1" applyFill="1" applyAlignment="1">
      <alignment horizontal="right"/>
    </xf>
    <xf numFmtId="1" fontId="39" fillId="29" borderId="0" xfId="3" applyNumberFormat="1" applyFont="1" applyFill="1" applyAlignment="1">
      <alignment horizontal="right"/>
    </xf>
    <xf numFmtId="0" fontId="35" fillId="29" borderId="0" xfId="3" applyFont="1" applyFill="1"/>
    <xf numFmtId="166" fontId="35" fillId="29" borderId="0" xfId="3" applyNumberFormat="1" applyFont="1" applyFill="1"/>
    <xf numFmtId="9" fontId="35" fillId="29" borderId="0" xfId="3" applyNumberFormat="1" applyFont="1" applyFill="1"/>
    <xf numFmtId="0" fontId="35" fillId="29" borderId="15" xfId="3" applyFont="1" applyFill="1" applyBorder="1"/>
    <xf numFmtId="2" fontId="36" fillId="29" borderId="0" xfId="3" applyNumberFormat="1" applyFont="1" applyFill="1" applyAlignment="1">
      <alignment horizontal="right"/>
    </xf>
    <xf numFmtId="167" fontId="36" fillId="29" borderId="0" xfId="3" applyNumberFormat="1" applyFont="1" applyFill="1" applyAlignment="1">
      <alignment horizontal="right"/>
    </xf>
    <xf numFmtId="167" fontId="35" fillId="29" borderId="0" xfId="3" applyNumberFormat="1" applyFont="1" applyFill="1" applyAlignment="1">
      <alignment horizontal="right"/>
    </xf>
    <xf numFmtId="1" fontId="36" fillId="29" borderId="0" xfId="3" applyNumberFormat="1" applyFont="1" applyFill="1" applyAlignment="1">
      <alignment horizontal="right"/>
    </xf>
    <xf numFmtId="0" fontId="35" fillId="30" borderId="14" xfId="3" applyFont="1" applyFill="1" applyBorder="1" applyAlignment="1">
      <alignment horizontal="left"/>
    </xf>
    <xf numFmtId="1" fontId="35" fillId="30" borderId="0" xfId="3" applyNumberFormat="1" applyFont="1" applyFill="1" applyAlignment="1">
      <alignment horizontal="right"/>
    </xf>
    <xf numFmtId="167" fontId="36" fillId="30" borderId="0" xfId="3" applyNumberFormat="1" applyFont="1" applyFill="1" applyAlignment="1">
      <alignment horizontal="right"/>
    </xf>
    <xf numFmtId="167" fontId="35" fillId="30" borderId="0" xfId="3" applyNumberFormat="1" applyFont="1" applyFill="1" applyAlignment="1">
      <alignment horizontal="right"/>
    </xf>
    <xf numFmtId="1" fontId="35" fillId="30" borderId="2" xfId="3" applyNumberFormat="1" applyFont="1" applyFill="1" applyBorder="1" applyAlignment="1">
      <alignment horizontal="right"/>
    </xf>
    <xf numFmtId="2" fontId="36" fillId="30" borderId="0" xfId="3" applyNumberFormat="1" applyFont="1" applyFill="1" applyAlignment="1">
      <alignment horizontal="right"/>
    </xf>
    <xf numFmtId="2" fontId="35" fillId="30" borderId="0" xfId="3" applyNumberFormat="1" applyFont="1" applyFill="1" applyAlignment="1">
      <alignment horizontal="right"/>
    </xf>
    <xf numFmtId="0" fontId="35" fillId="30" borderId="0" xfId="3" applyFont="1" applyFill="1"/>
    <xf numFmtId="166" fontId="35" fillId="30" borderId="0" xfId="3" applyNumberFormat="1" applyFont="1" applyFill="1"/>
    <xf numFmtId="9" fontId="35" fillId="30" borderId="0" xfId="3" applyNumberFormat="1" applyFont="1" applyFill="1"/>
    <xf numFmtId="0" fontId="35" fillId="30" borderId="15" xfId="3" applyFont="1" applyFill="1" applyBorder="1"/>
    <xf numFmtId="166" fontId="35" fillId="30" borderId="0" xfId="3" applyNumberFormat="1" applyFont="1" applyFill="1" applyAlignment="1">
      <alignment horizontal="right"/>
    </xf>
    <xf numFmtId="167" fontId="26" fillId="0" borderId="16" xfId="3" applyNumberFormat="1" applyBorder="1"/>
    <xf numFmtId="167" fontId="26" fillId="0" borderId="17" xfId="3" applyNumberFormat="1" applyBorder="1"/>
    <xf numFmtId="167" fontId="26" fillId="0" borderId="19" xfId="3" applyNumberFormat="1" applyBorder="1"/>
    <xf numFmtId="167" fontId="26" fillId="0" borderId="14" xfId="3" applyNumberFormat="1" applyBorder="1"/>
    <xf numFmtId="167" fontId="26" fillId="0" borderId="15" xfId="3" applyNumberFormat="1" applyBorder="1"/>
    <xf numFmtId="0" fontId="22" fillId="29" borderId="0" xfId="3" applyFont="1" applyFill="1" applyAlignment="1">
      <alignment horizontal="left"/>
    </xf>
    <xf numFmtId="2" fontId="19" fillId="29" borderId="0" xfId="3" applyNumberFormat="1" applyFont="1" applyFill="1" applyAlignment="1">
      <alignment horizontal="right"/>
    </xf>
    <xf numFmtId="2" fontId="22" fillId="29" borderId="0" xfId="3" applyNumberFormat="1" applyFont="1" applyFill="1" applyAlignment="1">
      <alignment horizontal="right"/>
    </xf>
    <xf numFmtId="1" fontId="22" fillId="29" borderId="0" xfId="3" applyNumberFormat="1" applyFont="1" applyFill="1" applyAlignment="1">
      <alignment horizontal="right"/>
    </xf>
    <xf numFmtId="166" fontId="22" fillId="29" borderId="0" xfId="3" applyNumberFormat="1" applyFont="1" applyFill="1" applyAlignment="1">
      <alignment horizontal="right"/>
    </xf>
    <xf numFmtId="2" fontId="40" fillId="29" borderId="0" xfId="3" applyNumberFormat="1" applyFont="1" applyFill="1" applyAlignment="1">
      <alignment horizontal="right"/>
    </xf>
    <xf numFmtId="1" fontId="40" fillId="29" borderId="0" xfId="3" applyNumberFormat="1" applyFont="1" applyFill="1" applyAlignment="1">
      <alignment horizontal="right"/>
    </xf>
    <xf numFmtId="0" fontId="22" fillId="29" borderId="0" xfId="3" applyFont="1" applyFill="1"/>
    <xf numFmtId="166" fontId="22" fillId="29" borderId="0" xfId="3" applyNumberFormat="1" applyFont="1" applyFill="1"/>
    <xf numFmtId="9" fontId="22" fillId="29" borderId="0" xfId="3" applyNumberFormat="1" applyFont="1" applyFill="1"/>
    <xf numFmtId="1" fontId="19" fillId="29" borderId="0" xfId="3" applyNumberFormat="1" applyFont="1" applyFill="1" applyAlignment="1">
      <alignment horizontal="right"/>
    </xf>
    <xf numFmtId="166" fontId="19" fillId="29" borderId="0" xfId="3" applyNumberFormat="1" applyFont="1" applyFill="1" applyAlignment="1">
      <alignment horizontal="right"/>
    </xf>
    <xf numFmtId="0" fontId="22" fillId="30" borderId="0" xfId="3" applyFont="1" applyFill="1" applyAlignment="1">
      <alignment horizontal="left"/>
    </xf>
    <xf numFmtId="2" fontId="19" fillId="30" borderId="0" xfId="3" applyNumberFormat="1" applyFont="1" applyFill="1" applyAlignment="1">
      <alignment horizontal="right"/>
    </xf>
    <xf numFmtId="2" fontId="22" fillId="30" borderId="0" xfId="3" applyNumberFormat="1" applyFont="1" applyFill="1" applyAlignment="1">
      <alignment horizontal="right"/>
    </xf>
    <xf numFmtId="1" fontId="22" fillId="30" borderId="0" xfId="3" applyNumberFormat="1" applyFont="1" applyFill="1" applyAlignment="1">
      <alignment horizontal="right"/>
    </xf>
    <xf numFmtId="2" fontId="40" fillId="30" borderId="0" xfId="3" applyNumberFormat="1" applyFont="1" applyFill="1" applyAlignment="1">
      <alignment horizontal="right"/>
    </xf>
    <xf numFmtId="1" fontId="40" fillId="30" borderId="0" xfId="3" applyNumberFormat="1" applyFont="1" applyFill="1" applyAlignment="1">
      <alignment horizontal="right"/>
    </xf>
    <xf numFmtId="0" fontId="22" fillId="30" borderId="0" xfId="3" applyFont="1" applyFill="1"/>
    <xf numFmtId="166" fontId="22" fillId="30" borderId="0" xfId="3" applyNumberFormat="1" applyFont="1" applyFill="1"/>
    <xf numFmtId="9" fontId="22" fillId="30" borderId="0" xfId="3" applyNumberFormat="1" applyFont="1" applyFill="1"/>
    <xf numFmtId="1" fontId="19" fillId="30" borderId="0" xfId="3" applyNumberFormat="1" applyFont="1" applyFill="1" applyAlignment="1">
      <alignment horizontal="right"/>
    </xf>
    <xf numFmtId="167" fontId="19" fillId="30" borderId="0" xfId="3" applyNumberFormat="1" applyFont="1" applyFill="1" applyAlignment="1">
      <alignment horizontal="right"/>
    </xf>
    <xf numFmtId="167" fontId="22" fillId="30" borderId="0" xfId="3" applyNumberFormat="1" applyFont="1" applyFill="1" applyAlignment="1">
      <alignment horizontal="right"/>
    </xf>
    <xf numFmtId="166" fontId="19" fillId="30" borderId="0" xfId="3" applyNumberFormat="1" applyFont="1" applyFill="1" applyAlignment="1">
      <alignment horizontal="right"/>
    </xf>
    <xf numFmtId="2" fontId="19" fillId="30" borderId="0" xfId="3" quotePrefix="1" applyNumberFormat="1" applyFont="1" applyFill="1" applyAlignment="1">
      <alignment horizontal="right"/>
    </xf>
    <xf numFmtId="166" fontId="22" fillId="30" borderId="0" xfId="3" applyNumberFormat="1" applyFont="1" applyFill="1" applyAlignment="1">
      <alignment horizontal="right"/>
    </xf>
    <xf numFmtId="0" fontId="22" fillId="30" borderId="14" xfId="3" applyFont="1" applyFill="1" applyBorder="1" applyAlignment="1">
      <alignment horizontal="left"/>
    </xf>
    <xf numFmtId="1" fontId="22" fillId="30" borderId="2" xfId="3" applyNumberFormat="1" applyFont="1" applyFill="1" applyBorder="1" applyAlignment="1">
      <alignment horizontal="right"/>
    </xf>
    <xf numFmtId="0" fontId="22" fillId="30" borderId="15" xfId="3" applyFont="1" applyFill="1" applyBorder="1"/>
    <xf numFmtId="0" fontId="22" fillId="30" borderId="16" xfId="3" applyFont="1" applyFill="1" applyBorder="1" applyAlignment="1">
      <alignment horizontal="left"/>
    </xf>
    <xf numFmtId="166" fontId="19" fillId="30" borderId="17" xfId="3" applyNumberFormat="1" applyFont="1" applyFill="1" applyBorder="1" applyAlignment="1">
      <alignment horizontal="right"/>
    </xf>
    <xf numFmtId="2" fontId="19" fillId="30" borderId="17" xfId="3" quotePrefix="1" applyNumberFormat="1" applyFont="1" applyFill="1" applyBorder="1" applyAlignment="1">
      <alignment horizontal="right"/>
    </xf>
    <xf numFmtId="2" fontId="22" fillId="30" borderId="17" xfId="3" applyNumberFormat="1" applyFont="1" applyFill="1" applyBorder="1" applyAlignment="1">
      <alignment horizontal="right"/>
    </xf>
    <xf numFmtId="1" fontId="22" fillId="30" borderId="18" xfId="3" applyNumberFormat="1" applyFont="1" applyFill="1" applyBorder="1" applyAlignment="1">
      <alignment horizontal="right"/>
    </xf>
    <xf numFmtId="1" fontId="22" fillId="30" borderId="17" xfId="3" applyNumberFormat="1" applyFont="1" applyFill="1" applyBorder="1" applyAlignment="1">
      <alignment horizontal="right"/>
    </xf>
    <xf numFmtId="166" fontId="22" fillId="30" borderId="17" xfId="3" applyNumberFormat="1" applyFont="1" applyFill="1" applyBorder="1" applyAlignment="1">
      <alignment horizontal="right"/>
    </xf>
    <xf numFmtId="1" fontId="40" fillId="30" borderId="17" xfId="3" applyNumberFormat="1" applyFont="1" applyFill="1" applyBorder="1" applyAlignment="1">
      <alignment horizontal="right"/>
    </xf>
    <xf numFmtId="2" fontId="40" fillId="30" borderId="17" xfId="3" applyNumberFormat="1" applyFont="1" applyFill="1" applyBorder="1" applyAlignment="1">
      <alignment horizontal="right"/>
    </xf>
    <xf numFmtId="0" fontId="22" fillId="30" borderId="17" xfId="3" applyFont="1" applyFill="1" applyBorder="1"/>
    <xf numFmtId="166" fontId="22" fillId="30" borderId="17" xfId="3" applyNumberFormat="1" applyFont="1" applyFill="1" applyBorder="1"/>
    <xf numFmtId="9" fontId="22" fillId="30" borderId="17" xfId="3" applyNumberFormat="1" applyFont="1" applyFill="1" applyBorder="1"/>
    <xf numFmtId="0" fontId="22" fillId="30" borderId="19" xfId="3" applyFont="1" applyFill="1" applyBorder="1"/>
    <xf numFmtId="0" fontId="22" fillId="29" borderId="10" xfId="3" applyFont="1" applyFill="1" applyBorder="1" applyAlignment="1">
      <alignment horizontal="left"/>
    </xf>
    <xf numFmtId="2" fontId="19" fillId="29" borderId="11" xfId="3" applyNumberFormat="1" applyFont="1" applyFill="1" applyBorder="1" applyAlignment="1">
      <alignment horizontal="right"/>
    </xf>
    <xf numFmtId="2" fontId="22" fillId="29" borderId="11" xfId="3" applyNumberFormat="1" applyFont="1" applyFill="1" applyBorder="1" applyAlignment="1">
      <alignment horizontal="right"/>
    </xf>
    <xf numFmtId="1" fontId="22" fillId="29" borderId="12" xfId="3" applyNumberFormat="1" applyFont="1" applyFill="1" applyBorder="1" applyAlignment="1">
      <alignment horizontal="right"/>
    </xf>
    <xf numFmtId="1" fontId="22" fillId="29" borderId="11" xfId="3" applyNumberFormat="1" applyFont="1" applyFill="1" applyBorder="1" applyAlignment="1">
      <alignment horizontal="right"/>
    </xf>
    <xf numFmtId="166" fontId="22" fillId="29" borderId="11" xfId="3" applyNumberFormat="1" applyFont="1" applyFill="1" applyBorder="1" applyAlignment="1">
      <alignment horizontal="right"/>
    </xf>
    <xf numFmtId="2" fontId="40" fillId="29" borderId="11" xfId="3" applyNumberFormat="1" applyFont="1" applyFill="1" applyBorder="1" applyAlignment="1">
      <alignment horizontal="right"/>
    </xf>
    <xf numFmtId="1" fontId="40" fillId="29" borderId="11" xfId="3" applyNumberFormat="1" applyFont="1" applyFill="1" applyBorder="1" applyAlignment="1">
      <alignment horizontal="right"/>
    </xf>
    <xf numFmtId="0" fontId="22" fillId="29" borderId="11" xfId="3" applyFont="1" applyFill="1" applyBorder="1"/>
    <xf numFmtId="166" fontId="22" fillId="29" borderId="11" xfId="3" applyNumberFormat="1" applyFont="1" applyFill="1" applyBorder="1"/>
    <xf numFmtId="9" fontId="22" fillId="29" borderId="11" xfId="3" applyNumberFormat="1" applyFont="1" applyFill="1" applyBorder="1"/>
    <xf numFmtId="0" fontId="22" fillId="29" borderId="13" xfId="3" applyFont="1" applyFill="1" applyBorder="1"/>
    <xf numFmtId="0" fontId="22" fillId="29" borderId="14" xfId="3" applyFont="1" applyFill="1" applyBorder="1" applyAlignment="1">
      <alignment horizontal="left"/>
    </xf>
    <xf numFmtId="1" fontId="22" fillId="29" borderId="2" xfId="3" applyNumberFormat="1" applyFont="1" applyFill="1" applyBorder="1" applyAlignment="1">
      <alignment horizontal="right"/>
    </xf>
    <xf numFmtId="0" fontId="22" fillId="29" borderId="15" xfId="3" applyFont="1" applyFill="1" applyBorder="1"/>
    <xf numFmtId="1" fontId="22" fillId="3" borderId="33" xfId="3" applyNumberFormat="1" applyFont="1" applyFill="1" applyBorder="1" applyAlignment="1">
      <alignment horizontal="right"/>
    </xf>
    <xf numFmtId="1" fontId="22" fillId="13" borderId="36" xfId="3" applyNumberFormat="1" applyFont="1" applyFill="1" applyBorder="1" applyAlignment="1">
      <alignment horizontal="right"/>
    </xf>
    <xf numFmtId="1" fontId="22" fillId="13" borderId="37" xfId="3" applyNumberFormat="1" applyFont="1" applyFill="1" applyBorder="1" applyAlignment="1">
      <alignment horizontal="right"/>
    </xf>
    <xf numFmtId="1" fontId="22" fillId="29" borderId="33" xfId="3" applyNumberFormat="1" applyFont="1" applyFill="1" applyBorder="1" applyAlignment="1">
      <alignment horizontal="right"/>
    </xf>
    <xf numFmtId="1" fontId="22" fillId="6" borderId="33" xfId="3" applyNumberFormat="1" applyFont="1" applyFill="1" applyBorder="1" applyAlignment="1">
      <alignment horizontal="right"/>
    </xf>
    <xf numFmtId="1" fontId="22" fillId="30" borderId="33" xfId="3" applyNumberFormat="1" applyFont="1" applyFill="1" applyBorder="1" applyAlignment="1">
      <alignment horizontal="right"/>
    </xf>
    <xf numFmtId="0" fontId="22" fillId="2" borderId="33" xfId="3" applyFont="1" applyFill="1" applyBorder="1"/>
    <xf numFmtId="0" fontId="22" fillId="29" borderId="16" xfId="3" applyFont="1" applyFill="1" applyBorder="1" applyAlignment="1">
      <alignment horizontal="left"/>
    </xf>
    <xf numFmtId="2" fontId="22" fillId="29" borderId="17" xfId="3" applyNumberFormat="1" applyFont="1" applyFill="1" applyBorder="1" applyAlignment="1">
      <alignment horizontal="right"/>
    </xf>
    <xf numFmtId="1" fontId="22" fillId="29" borderId="17" xfId="3" applyNumberFormat="1" applyFont="1" applyFill="1" applyBorder="1" applyAlignment="1">
      <alignment horizontal="right"/>
    </xf>
    <xf numFmtId="1" fontId="22" fillId="29" borderId="18" xfId="3" applyNumberFormat="1" applyFont="1" applyFill="1" applyBorder="1" applyAlignment="1">
      <alignment horizontal="right"/>
    </xf>
    <xf numFmtId="1" fontId="19" fillId="29" borderId="17" xfId="3" applyNumberFormat="1" applyFont="1" applyFill="1" applyBorder="1" applyAlignment="1">
      <alignment horizontal="right"/>
    </xf>
    <xf numFmtId="166" fontId="22" fillId="29" borderId="17" xfId="3" applyNumberFormat="1" applyFont="1" applyFill="1" applyBorder="1" applyAlignment="1">
      <alignment horizontal="right"/>
    </xf>
    <xf numFmtId="2" fontId="19" fillId="29" borderId="17" xfId="3" applyNumberFormat="1" applyFont="1" applyFill="1" applyBorder="1" applyAlignment="1">
      <alignment horizontal="right"/>
    </xf>
    <xf numFmtId="0" fontId="22" fillId="29" borderId="17" xfId="3" applyFont="1" applyFill="1" applyBorder="1"/>
    <xf numFmtId="166" fontId="22" fillId="29" borderId="17" xfId="3" applyNumberFormat="1" applyFont="1" applyFill="1" applyBorder="1"/>
    <xf numFmtId="9" fontId="22" fillId="29" borderId="17" xfId="3" applyNumberFormat="1" applyFont="1" applyFill="1" applyBorder="1"/>
    <xf numFmtId="0" fontId="22" fillId="29" borderId="19" xfId="3" applyFont="1" applyFill="1" applyBorder="1"/>
    <xf numFmtId="0" fontId="55" fillId="2" borderId="0" xfId="3" applyFont="1" applyFill="1" applyAlignment="1">
      <alignment horizontal="left"/>
    </xf>
    <xf numFmtId="0" fontId="56" fillId="2" borderId="0" xfId="3" applyFont="1" applyFill="1" applyAlignment="1">
      <alignment horizontal="left"/>
    </xf>
    <xf numFmtId="167" fontId="10" fillId="0" borderId="19" xfId="3" applyNumberFormat="1" applyFont="1" applyBorder="1"/>
    <xf numFmtId="0" fontId="57" fillId="2" borderId="0" xfId="3" applyFont="1" applyFill="1" applyAlignment="1">
      <alignment horizontal="left"/>
    </xf>
    <xf numFmtId="1" fontId="21" fillId="30" borderId="0" xfId="3" applyNumberFormat="1" applyFont="1" applyFill="1" applyAlignment="1">
      <alignment horizontal="right"/>
    </xf>
    <xf numFmtId="2" fontId="33" fillId="30" borderId="0" xfId="3" applyNumberFormat="1" applyFont="1" applyFill="1" applyAlignment="1">
      <alignment horizontal="right"/>
    </xf>
    <xf numFmtId="1" fontId="33" fillId="30" borderId="0" xfId="3" applyNumberFormat="1" applyFont="1" applyFill="1" applyAlignment="1">
      <alignment horizontal="right"/>
    </xf>
    <xf numFmtId="1" fontId="21" fillId="29" borderId="11" xfId="3" applyNumberFormat="1" applyFont="1" applyFill="1" applyBorder="1" applyAlignment="1">
      <alignment horizontal="right"/>
    </xf>
    <xf numFmtId="1" fontId="21" fillId="29" borderId="0" xfId="3" applyNumberFormat="1" applyFont="1" applyFill="1" applyAlignment="1">
      <alignment horizontal="right"/>
    </xf>
    <xf numFmtId="0" fontId="58" fillId="2" borderId="0" xfId="3" applyFont="1" applyFill="1" applyAlignment="1">
      <alignment horizontal="left"/>
    </xf>
    <xf numFmtId="168" fontId="26" fillId="0" borderId="15" xfId="3" applyNumberFormat="1" applyBorder="1"/>
    <xf numFmtId="0" fontId="56" fillId="0" borderId="0" xfId="3" applyFont="1" applyAlignment="1">
      <alignment horizontal="left"/>
    </xf>
    <xf numFmtId="0" fontId="59" fillId="0" borderId="0" xfId="3" applyFont="1" applyAlignment="1">
      <alignment horizontal="left"/>
    </xf>
    <xf numFmtId="0" fontId="35" fillId="30" borderId="3" xfId="0" applyFont="1" applyFill="1" applyBorder="1" applyAlignment="1">
      <alignment horizontal="left"/>
    </xf>
    <xf numFmtId="2" fontId="36" fillId="30" borderId="4" xfId="0" applyNumberFormat="1" applyFont="1" applyFill="1" applyBorder="1" applyAlignment="1">
      <alignment horizontal="right"/>
    </xf>
    <xf numFmtId="2" fontId="35" fillId="30" borderId="4" xfId="0" applyNumberFormat="1" applyFont="1" applyFill="1" applyBorder="1" applyAlignment="1">
      <alignment horizontal="right"/>
    </xf>
    <xf numFmtId="1" fontId="35" fillId="30" borderId="4" xfId="0" applyNumberFormat="1" applyFont="1" applyFill="1" applyBorder="1" applyAlignment="1">
      <alignment horizontal="right"/>
    </xf>
    <xf numFmtId="1" fontId="35" fillId="30" borderId="1" xfId="0" applyNumberFormat="1" applyFont="1" applyFill="1" applyBorder="1" applyAlignment="1">
      <alignment horizontal="right"/>
    </xf>
    <xf numFmtId="1" fontId="35" fillId="30" borderId="0" xfId="0" applyNumberFormat="1" applyFont="1" applyFill="1" applyAlignment="1">
      <alignment horizontal="right"/>
    </xf>
    <xf numFmtId="0" fontId="35" fillId="30" borderId="4" xfId="0" applyFont="1" applyFill="1" applyBorder="1"/>
    <xf numFmtId="166" fontId="35" fillId="30" borderId="4" xfId="0" applyNumberFormat="1" applyFont="1" applyFill="1" applyBorder="1"/>
    <xf numFmtId="9" fontId="35" fillId="30" borderId="4" xfId="0" applyNumberFormat="1" applyFont="1" applyFill="1" applyBorder="1"/>
    <xf numFmtId="0" fontId="35" fillId="30" borderId="5" xfId="0" applyFont="1" applyFill="1" applyBorder="1"/>
    <xf numFmtId="0" fontId="35" fillId="30" borderId="20" xfId="0" applyFont="1" applyFill="1" applyBorder="1" applyAlignment="1">
      <alignment horizontal="left"/>
    </xf>
    <xf numFmtId="1" fontId="36" fillId="30" borderId="0" xfId="0" applyNumberFormat="1" applyFont="1" applyFill="1" applyAlignment="1">
      <alignment horizontal="right"/>
    </xf>
    <xf numFmtId="167" fontId="36" fillId="30" borderId="0" xfId="0" applyNumberFormat="1" applyFont="1" applyFill="1" applyAlignment="1">
      <alignment horizontal="right"/>
    </xf>
    <xf numFmtId="1" fontId="35" fillId="30" borderId="2" xfId="0" applyNumberFormat="1" applyFont="1" applyFill="1" applyBorder="1" applyAlignment="1">
      <alignment horizontal="right"/>
    </xf>
    <xf numFmtId="2" fontId="35" fillId="30" borderId="0" xfId="0" applyNumberFormat="1" applyFont="1" applyFill="1" applyAlignment="1">
      <alignment horizontal="right"/>
    </xf>
    <xf numFmtId="0" fontId="35" fillId="30" borderId="0" xfId="0" applyFont="1" applyFill="1"/>
    <xf numFmtId="166" fontId="35" fillId="30" borderId="0" xfId="0" applyNumberFormat="1" applyFont="1" applyFill="1"/>
    <xf numFmtId="9" fontId="35" fillId="30" borderId="0" xfId="0" applyNumberFormat="1" applyFont="1" applyFill="1"/>
    <xf numFmtId="0" fontId="35" fillId="30" borderId="21" xfId="0" applyFont="1" applyFill="1" applyBorder="1"/>
    <xf numFmtId="2" fontId="36" fillId="30" borderId="0" xfId="0" applyNumberFormat="1" applyFont="1" applyFill="1" applyAlignment="1">
      <alignment horizontal="right"/>
    </xf>
    <xf numFmtId="0" fontId="35" fillId="30" borderId="27" xfId="0" applyFont="1" applyFill="1" applyBorder="1" applyAlignment="1">
      <alignment horizontal="left"/>
    </xf>
    <xf numFmtId="1" fontId="36" fillId="30" borderId="17" xfId="0" applyNumberFormat="1" applyFont="1" applyFill="1" applyBorder="1" applyAlignment="1">
      <alignment horizontal="right"/>
    </xf>
    <xf numFmtId="1" fontId="35" fillId="30" borderId="17" xfId="0" applyNumberFormat="1" applyFont="1" applyFill="1" applyBorder="1" applyAlignment="1">
      <alignment horizontal="right"/>
    </xf>
    <xf numFmtId="1" fontId="35" fillId="30" borderId="18" xfId="0" applyNumberFormat="1" applyFont="1" applyFill="1" applyBorder="1" applyAlignment="1">
      <alignment horizontal="right"/>
    </xf>
    <xf numFmtId="2" fontId="35" fillId="30" borderId="17" xfId="0" applyNumberFormat="1" applyFont="1" applyFill="1" applyBorder="1" applyAlignment="1">
      <alignment horizontal="right"/>
    </xf>
    <xf numFmtId="2" fontId="36" fillId="30" borderId="17" xfId="0" applyNumberFormat="1" applyFont="1" applyFill="1" applyBorder="1" applyAlignment="1">
      <alignment horizontal="right"/>
    </xf>
    <xf numFmtId="0" fontId="35" fillId="30" borderId="17" xfId="0" applyFont="1" applyFill="1" applyBorder="1"/>
    <xf numFmtId="166" fontId="35" fillId="30" borderId="17" xfId="0" applyNumberFormat="1" applyFont="1" applyFill="1" applyBorder="1"/>
    <xf numFmtId="9" fontId="35" fillId="30" borderId="17" xfId="0" applyNumberFormat="1" applyFont="1" applyFill="1" applyBorder="1"/>
    <xf numFmtId="0" fontId="35" fillId="30" borderId="26" xfId="0" applyFont="1" applyFill="1" applyBorder="1"/>
    <xf numFmtId="0" fontId="22" fillId="25" borderId="10" xfId="0" applyFont="1" applyFill="1" applyBorder="1" applyAlignment="1">
      <alignment horizontal="left"/>
    </xf>
    <xf numFmtId="1" fontId="22" fillId="25" borderId="11" xfId="0" applyNumberFormat="1" applyFont="1" applyFill="1" applyBorder="1" applyAlignment="1">
      <alignment horizontal="right"/>
    </xf>
    <xf numFmtId="1" fontId="22" fillId="25" borderId="12" xfId="0" applyNumberFormat="1" applyFont="1" applyFill="1" applyBorder="1" applyAlignment="1">
      <alignment horizontal="right"/>
    </xf>
    <xf numFmtId="166" fontId="22" fillId="25" borderId="11" xfId="0" applyNumberFormat="1" applyFont="1" applyFill="1" applyBorder="1" applyAlignment="1">
      <alignment horizontal="right"/>
    </xf>
    <xf numFmtId="2" fontId="19" fillId="25" borderId="11" xfId="0" applyNumberFormat="1" applyFont="1" applyFill="1" applyBorder="1" applyAlignment="1">
      <alignment horizontal="right"/>
    </xf>
    <xf numFmtId="167" fontId="19" fillId="25" borderId="11" xfId="0" applyNumberFormat="1" applyFont="1" applyFill="1" applyBorder="1" applyAlignment="1">
      <alignment horizontal="right"/>
    </xf>
    <xf numFmtId="2" fontId="22" fillId="25" borderId="11" xfId="0" applyNumberFormat="1" applyFont="1" applyFill="1" applyBorder="1" applyAlignment="1">
      <alignment horizontal="right"/>
    </xf>
    <xf numFmtId="0" fontId="22" fillId="25" borderId="11" xfId="0" applyFont="1" applyFill="1" applyBorder="1"/>
    <xf numFmtId="166" fontId="22" fillId="25" borderId="11" xfId="0" applyNumberFormat="1" applyFont="1" applyFill="1" applyBorder="1"/>
    <xf numFmtId="9" fontId="22" fillId="25" borderId="11" xfId="0" applyNumberFormat="1" applyFont="1" applyFill="1" applyBorder="1"/>
    <xf numFmtId="0" fontId="22" fillId="25" borderId="28" xfId="0" applyFont="1" applyFill="1" applyBorder="1"/>
    <xf numFmtId="0" fontId="22" fillId="25" borderId="14" xfId="0" applyFont="1" applyFill="1" applyBorder="1" applyAlignment="1">
      <alignment horizontal="left"/>
    </xf>
    <xf numFmtId="166" fontId="22" fillId="25" borderId="0" xfId="0" applyNumberFormat="1" applyFont="1" applyFill="1" applyAlignment="1">
      <alignment horizontal="right"/>
    </xf>
    <xf numFmtId="1" fontId="22" fillId="25" borderId="0" xfId="0" applyNumberFormat="1" applyFont="1" applyFill="1" applyAlignment="1">
      <alignment horizontal="right"/>
    </xf>
    <xf numFmtId="2" fontId="22" fillId="25" borderId="0" xfId="0" applyNumberFormat="1" applyFont="1" applyFill="1" applyAlignment="1">
      <alignment horizontal="right"/>
    </xf>
    <xf numFmtId="1" fontId="22" fillId="25" borderId="2" xfId="0" applyNumberFormat="1" applyFont="1" applyFill="1" applyBorder="1" applyAlignment="1">
      <alignment horizontal="right"/>
    </xf>
    <xf numFmtId="2" fontId="19" fillId="25" borderId="0" xfId="0" applyNumberFormat="1" applyFont="1" applyFill="1" applyAlignment="1">
      <alignment horizontal="right"/>
    </xf>
    <xf numFmtId="167" fontId="19" fillId="25" borderId="0" xfId="0" applyNumberFormat="1" applyFont="1" applyFill="1" applyAlignment="1">
      <alignment horizontal="right"/>
    </xf>
    <xf numFmtId="0" fontId="22" fillId="25" borderId="0" xfId="0" applyFont="1" applyFill="1"/>
    <xf numFmtId="166" fontId="22" fillId="25" borderId="0" xfId="0" applyNumberFormat="1" applyFont="1" applyFill="1"/>
    <xf numFmtId="9" fontId="22" fillId="25" borderId="0" xfId="0" applyNumberFormat="1" applyFont="1" applyFill="1"/>
    <xf numFmtId="0" fontId="22" fillId="25" borderId="21" xfId="0" applyFont="1" applyFill="1" applyBorder="1"/>
    <xf numFmtId="0" fontId="22" fillId="25" borderId="35" xfId="0" applyFont="1" applyFill="1" applyBorder="1" applyAlignment="1">
      <alignment horizontal="left"/>
    </xf>
    <xf numFmtId="166" fontId="22" fillId="25" borderId="7" xfId="0" applyNumberFormat="1" applyFont="1" applyFill="1" applyBorder="1" applyAlignment="1">
      <alignment horizontal="right"/>
    </xf>
    <xf numFmtId="1" fontId="22" fillId="25" borderId="7" xfId="0" applyNumberFormat="1" applyFont="1" applyFill="1" applyBorder="1" applyAlignment="1">
      <alignment horizontal="right"/>
    </xf>
    <xf numFmtId="2" fontId="22" fillId="25" borderId="7" xfId="0" applyNumberFormat="1" applyFont="1" applyFill="1" applyBorder="1" applyAlignment="1">
      <alignment horizontal="right"/>
    </xf>
    <xf numFmtId="1" fontId="22" fillId="25" borderId="8" xfId="0" applyNumberFormat="1" applyFont="1" applyFill="1" applyBorder="1" applyAlignment="1">
      <alignment horizontal="right"/>
    </xf>
    <xf numFmtId="2" fontId="19" fillId="25" borderId="7" xfId="0" applyNumberFormat="1" applyFont="1" applyFill="1" applyBorder="1" applyAlignment="1">
      <alignment horizontal="right"/>
    </xf>
    <xf numFmtId="0" fontId="22" fillId="25" borderId="7" xfId="0" applyFont="1" applyFill="1" applyBorder="1"/>
    <xf numFmtId="166" fontId="22" fillId="25" borderId="7" xfId="0" applyNumberFormat="1" applyFont="1" applyFill="1" applyBorder="1"/>
    <xf numFmtId="9" fontId="22" fillId="25" borderId="7" xfId="0" applyNumberFormat="1" applyFont="1" applyFill="1" applyBorder="1"/>
    <xf numFmtId="0" fontId="22" fillId="25" borderId="9" xfId="0" applyFont="1" applyFill="1" applyBorder="1"/>
    <xf numFmtId="0" fontId="22" fillId="25" borderId="38" xfId="3" applyFont="1" applyFill="1" applyBorder="1" applyAlignment="1">
      <alignment horizontal="left"/>
    </xf>
    <xf numFmtId="1" fontId="22" fillId="25" borderId="24" xfId="3" applyNumberFormat="1" applyFont="1" applyFill="1" applyBorder="1" applyAlignment="1">
      <alignment horizontal="right"/>
    </xf>
    <xf numFmtId="2" fontId="22" fillId="25" borderId="24" xfId="3" applyNumberFormat="1" applyFont="1" applyFill="1" applyBorder="1" applyAlignment="1">
      <alignment horizontal="right"/>
    </xf>
    <xf numFmtId="1" fontId="22" fillId="25" borderId="22" xfId="3" applyNumberFormat="1" applyFont="1" applyFill="1" applyBorder="1" applyAlignment="1">
      <alignment horizontal="right"/>
    </xf>
    <xf numFmtId="166" fontId="22" fillId="25" borderId="24" xfId="3" applyNumberFormat="1" applyFont="1" applyFill="1" applyBorder="1" applyAlignment="1">
      <alignment horizontal="right"/>
    </xf>
    <xf numFmtId="167" fontId="22" fillId="25" borderId="24" xfId="3" applyNumberFormat="1" applyFont="1" applyFill="1" applyBorder="1" applyAlignment="1">
      <alignment horizontal="right"/>
    </xf>
    <xf numFmtId="2" fontId="19" fillId="25" borderId="24" xfId="3" applyNumberFormat="1" applyFont="1" applyFill="1" applyBorder="1" applyAlignment="1">
      <alignment horizontal="right"/>
    </xf>
    <xf numFmtId="0" fontId="22" fillId="25" borderId="24" xfId="3" applyFont="1" applyFill="1" applyBorder="1"/>
    <xf numFmtId="166" fontId="22" fillId="25" borderId="24" xfId="3" applyNumberFormat="1" applyFont="1" applyFill="1" applyBorder="1"/>
    <xf numFmtId="9" fontId="22" fillId="25" borderId="24" xfId="3" applyNumberFormat="1" applyFont="1" applyFill="1" applyBorder="1"/>
    <xf numFmtId="0" fontId="22" fillId="25" borderId="23" xfId="3" applyFont="1" applyFill="1" applyBorder="1"/>
    <xf numFmtId="167" fontId="19" fillId="29" borderId="0" xfId="3" applyNumberFormat="1" applyFont="1" applyFill="1" applyAlignment="1">
      <alignment horizontal="right"/>
    </xf>
    <xf numFmtId="0" fontId="22" fillId="30" borderId="3" xfId="0" applyFont="1" applyFill="1" applyBorder="1" applyAlignment="1">
      <alignment horizontal="left"/>
    </xf>
    <xf numFmtId="2" fontId="22" fillId="30" borderId="4" xfId="0" applyNumberFormat="1" applyFont="1" applyFill="1" applyBorder="1" applyAlignment="1">
      <alignment horizontal="right"/>
    </xf>
    <xf numFmtId="1" fontId="22" fillId="30" borderId="4" xfId="0" applyNumberFormat="1" applyFont="1" applyFill="1" applyBorder="1" applyAlignment="1">
      <alignment horizontal="right"/>
    </xf>
    <xf numFmtId="1" fontId="22" fillId="30" borderId="1" xfId="0" applyNumberFormat="1" applyFont="1" applyFill="1" applyBorder="1" applyAlignment="1">
      <alignment horizontal="right"/>
    </xf>
    <xf numFmtId="0" fontId="22" fillId="30" borderId="4" xfId="0" applyFont="1" applyFill="1" applyBorder="1"/>
    <xf numFmtId="166" fontId="22" fillId="30" borderId="4" xfId="0" applyNumberFormat="1" applyFont="1" applyFill="1" applyBorder="1"/>
    <xf numFmtId="9" fontId="22" fillId="30" borderId="4" xfId="0" applyNumberFormat="1" applyFont="1" applyFill="1" applyBorder="1"/>
    <xf numFmtId="0" fontId="22" fillId="30" borderId="5" xfId="0" applyFont="1" applyFill="1" applyBorder="1"/>
    <xf numFmtId="0" fontId="22" fillId="30" borderId="20" xfId="0" applyFont="1" applyFill="1" applyBorder="1" applyAlignment="1">
      <alignment horizontal="left"/>
    </xf>
    <xf numFmtId="1" fontId="22" fillId="30" borderId="0" xfId="0" applyNumberFormat="1" applyFont="1" applyFill="1" applyAlignment="1">
      <alignment horizontal="right"/>
    </xf>
    <xf numFmtId="167" fontId="22" fillId="30" borderId="0" xfId="0" applyNumberFormat="1" applyFont="1" applyFill="1" applyAlignment="1">
      <alignment horizontal="right"/>
    </xf>
    <xf numFmtId="1" fontId="22" fillId="30" borderId="2" xfId="0" applyNumberFormat="1" applyFont="1" applyFill="1" applyBorder="1" applyAlignment="1">
      <alignment horizontal="right"/>
    </xf>
    <xf numFmtId="2" fontId="22" fillId="30" borderId="0" xfId="0" applyNumberFormat="1" applyFont="1" applyFill="1" applyAlignment="1">
      <alignment horizontal="right"/>
    </xf>
    <xf numFmtId="0" fontId="22" fillId="30" borderId="0" xfId="0" applyFont="1" applyFill="1"/>
    <xf numFmtId="166" fontId="22" fillId="30" borderId="0" xfId="0" applyNumberFormat="1" applyFont="1" applyFill="1"/>
    <xf numFmtId="9" fontId="22" fillId="30" borderId="0" xfId="0" applyNumberFormat="1" applyFont="1" applyFill="1"/>
    <xf numFmtId="0" fontId="22" fillId="30" borderId="21" xfId="0" applyFont="1" applyFill="1" applyBorder="1"/>
    <xf numFmtId="0" fontId="22" fillId="25" borderId="29" xfId="3" applyFont="1" applyFill="1" applyBorder="1" applyAlignment="1">
      <alignment horizontal="left"/>
    </xf>
    <xf numFmtId="1" fontId="22" fillId="25" borderId="11" xfId="3" applyNumberFormat="1" applyFont="1" applyFill="1" applyBorder="1" applyAlignment="1">
      <alignment horizontal="right"/>
    </xf>
    <xf numFmtId="1" fontId="22" fillId="25" borderId="12" xfId="3" applyNumberFormat="1" applyFont="1" applyFill="1" applyBorder="1" applyAlignment="1">
      <alignment horizontal="right"/>
    </xf>
    <xf numFmtId="166" fontId="22" fillId="25" borderId="11" xfId="3" applyNumberFormat="1" applyFont="1" applyFill="1" applyBorder="1" applyAlignment="1">
      <alignment horizontal="right"/>
    </xf>
    <xf numFmtId="2" fontId="19" fillId="25" borderId="11" xfId="3" applyNumberFormat="1" applyFont="1" applyFill="1" applyBorder="1" applyAlignment="1">
      <alignment horizontal="right"/>
    </xf>
    <xf numFmtId="167" fontId="19" fillId="25" borderId="11" xfId="3" applyNumberFormat="1" applyFont="1" applyFill="1" applyBorder="1" applyAlignment="1">
      <alignment horizontal="right"/>
    </xf>
    <xf numFmtId="2" fontId="22" fillId="25" borderId="11" xfId="3" applyNumberFormat="1" applyFont="1" applyFill="1" applyBorder="1" applyAlignment="1">
      <alignment horizontal="right"/>
    </xf>
    <xf numFmtId="0" fontId="22" fillId="25" borderId="11" xfId="3" applyFont="1" applyFill="1" applyBorder="1"/>
    <xf numFmtId="166" fontId="22" fillId="25" borderId="11" xfId="3" applyNumberFormat="1" applyFont="1" applyFill="1" applyBorder="1"/>
    <xf numFmtId="9" fontId="22" fillId="25" borderId="11" xfId="3" applyNumberFormat="1" applyFont="1" applyFill="1" applyBorder="1"/>
    <xf numFmtId="0" fontId="22" fillId="25" borderId="28" xfId="3" applyFont="1" applyFill="1" applyBorder="1"/>
    <xf numFmtId="0" fontId="22" fillId="25" borderId="20" xfId="3" applyFont="1" applyFill="1" applyBorder="1" applyAlignment="1">
      <alignment horizontal="left"/>
    </xf>
    <xf numFmtId="2" fontId="22" fillId="25" borderId="0" xfId="3" applyNumberFormat="1" applyFont="1" applyFill="1" applyAlignment="1">
      <alignment horizontal="right"/>
    </xf>
    <xf numFmtId="1" fontId="22" fillId="25" borderId="0" xfId="3" applyNumberFormat="1" applyFont="1" applyFill="1" applyAlignment="1">
      <alignment horizontal="right"/>
    </xf>
    <xf numFmtId="1" fontId="22" fillId="25" borderId="2" xfId="3" applyNumberFormat="1" applyFont="1" applyFill="1" applyBorder="1" applyAlignment="1">
      <alignment horizontal="right"/>
    </xf>
    <xf numFmtId="166" fontId="22" fillId="25" borderId="0" xfId="3" applyNumberFormat="1" applyFont="1" applyFill="1" applyAlignment="1">
      <alignment horizontal="right"/>
    </xf>
    <xf numFmtId="2" fontId="19" fillId="25" borderId="0" xfId="3" applyNumberFormat="1" applyFont="1" applyFill="1" applyAlignment="1">
      <alignment horizontal="right"/>
    </xf>
    <xf numFmtId="167" fontId="19" fillId="25" borderId="0" xfId="3" applyNumberFormat="1" applyFont="1" applyFill="1" applyAlignment="1">
      <alignment horizontal="right"/>
    </xf>
    <xf numFmtId="167" fontId="22" fillId="25" borderId="0" xfId="3" applyNumberFormat="1" applyFont="1" applyFill="1" applyAlignment="1">
      <alignment horizontal="right"/>
    </xf>
    <xf numFmtId="0" fontId="22" fillId="25" borderId="0" xfId="3" applyFont="1" applyFill="1"/>
    <xf numFmtId="166" fontId="22" fillId="25" borderId="0" xfId="3" applyNumberFormat="1" applyFont="1" applyFill="1"/>
    <xf numFmtId="9" fontId="22" fillId="25" borderId="0" xfId="3" applyNumberFormat="1" applyFont="1" applyFill="1"/>
    <xf numFmtId="0" fontId="22" fillId="25" borderId="21" xfId="3" applyFont="1" applyFill="1" applyBorder="1"/>
    <xf numFmtId="0" fontId="22" fillId="25" borderId="6" xfId="3" applyFont="1" applyFill="1" applyBorder="1" applyAlignment="1">
      <alignment horizontal="left"/>
    </xf>
    <xf numFmtId="166" fontId="22" fillId="25" borderId="7" xfId="3" applyNumberFormat="1" applyFont="1" applyFill="1" applyBorder="1" applyAlignment="1">
      <alignment horizontal="right"/>
    </xf>
    <xf numFmtId="2" fontId="22" fillId="25" borderId="7" xfId="3" applyNumberFormat="1" applyFont="1" applyFill="1" applyBorder="1" applyAlignment="1">
      <alignment horizontal="right"/>
    </xf>
    <xf numFmtId="1" fontId="22" fillId="25" borderId="7" xfId="3" applyNumberFormat="1" applyFont="1" applyFill="1" applyBorder="1" applyAlignment="1">
      <alignment horizontal="right"/>
    </xf>
    <xf numFmtId="1" fontId="22" fillId="25" borderId="8" xfId="3" applyNumberFormat="1" applyFont="1" applyFill="1" applyBorder="1" applyAlignment="1">
      <alignment horizontal="right"/>
    </xf>
    <xf numFmtId="2" fontId="19" fillId="25" borderId="7" xfId="3" applyNumberFormat="1" applyFont="1" applyFill="1" applyBorder="1" applyAlignment="1">
      <alignment horizontal="right"/>
    </xf>
    <xf numFmtId="0" fontId="22" fillId="25" borderId="7" xfId="3" applyFont="1" applyFill="1" applyBorder="1"/>
    <xf numFmtId="166" fontId="22" fillId="25" borderId="7" xfId="3" applyNumberFormat="1" applyFont="1" applyFill="1" applyBorder="1"/>
    <xf numFmtId="9" fontId="22" fillId="25" borderId="7" xfId="3" applyNumberFormat="1" applyFont="1" applyFill="1" applyBorder="1"/>
    <xf numFmtId="0" fontId="22" fillId="25" borderId="9" xfId="3" applyFont="1" applyFill="1" applyBorder="1"/>
    <xf numFmtId="0" fontId="22" fillId="25" borderId="25" xfId="3" applyFont="1" applyFill="1" applyBorder="1" applyAlignment="1">
      <alignment horizontal="left"/>
    </xf>
    <xf numFmtId="167" fontId="22" fillId="29" borderId="0" xfId="3" applyNumberFormat="1" applyFont="1" applyFill="1" applyAlignment="1">
      <alignment horizontal="right"/>
    </xf>
    <xf numFmtId="0" fontId="59" fillId="2" borderId="0" xfId="3" applyFont="1" applyFill="1" applyAlignment="1">
      <alignment horizontal="left"/>
    </xf>
    <xf numFmtId="0" fontId="22" fillId="0" borderId="0" xfId="3" applyFont="1" applyAlignment="1">
      <alignment horizontal="left"/>
    </xf>
    <xf numFmtId="0" fontId="22" fillId="25" borderId="0" xfId="3" applyFont="1" applyFill="1" applyAlignment="1">
      <alignment horizontal="left"/>
    </xf>
    <xf numFmtId="1" fontId="19" fillId="25" borderId="0" xfId="3" applyNumberFormat="1" applyFont="1" applyFill="1" applyAlignment="1">
      <alignment horizontal="right"/>
    </xf>
    <xf numFmtId="0" fontId="35" fillId="29" borderId="0" xfId="3" applyFont="1" applyFill="1" applyAlignment="1">
      <alignment horizontal="left"/>
    </xf>
    <xf numFmtId="0" fontId="35" fillId="29" borderId="3" xfId="3" applyFont="1" applyFill="1" applyBorder="1" applyAlignment="1">
      <alignment horizontal="left"/>
    </xf>
    <xf numFmtId="2" fontId="35" fillId="29" borderId="4" xfId="3" applyNumberFormat="1" applyFont="1" applyFill="1" applyBorder="1" applyAlignment="1">
      <alignment horizontal="right"/>
    </xf>
    <xf numFmtId="2" fontId="36" fillId="29" borderId="4" xfId="3" applyNumberFormat="1" applyFont="1" applyFill="1" applyBorder="1" applyAlignment="1">
      <alignment horizontal="right"/>
    </xf>
    <xf numFmtId="1" fontId="35" fillId="29" borderId="4" xfId="3" applyNumberFormat="1" applyFont="1" applyFill="1" applyBorder="1" applyAlignment="1">
      <alignment horizontal="right"/>
    </xf>
    <xf numFmtId="1" fontId="35" fillId="29" borderId="1" xfId="3" applyNumberFormat="1" applyFont="1" applyFill="1" applyBorder="1" applyAlignment="1">
      <alignment horizontal="right"/>
    </xf>
    <xf numFmtId="166" fontId="35" fillId="29" borderId="4" xfId="3" applyNumberFormat="1" applyFont="1" applyFill="1" applyBorder="1" applyAlignment="1">
      <alignment horizontal="right"/>
    </xf>
    <xf numFmtId="0" fontId="35" fillId="29" borderId="4" xfId="3" applyFont="1" applyFill="1" applyBorder="1"/>
    <xf numFmtId="166" fontId="35" fillId="29" borderId="4" xfId="3" applyNumberFormat="1" applyFont="1" applyFill="1" applyBorder="1"/>
    <xf numFmtId="9" fontId="35" fillId="29" borderId="4" xfId="3" applyNumberFormat="1" applyFont="1" applyFill="1" applyBorder="1"/>
    <xf numFmtId="0" fontId="35" fillId="29" borderId="5" xfId="3" applyFont="1" applyFill="1" applyBorder="1"/>
    <xf numFmtId="0" fontId="35" fillId="29" borderId="20" xfId="3" applyFont="1" applyFill="1" applyBorder="1" applyAlignment="1">
      <alignment horizontal="left"/>
    </xf>
    <xf numFmtId="0" fontId="35" fillId="29" borderId="21" xfId="3" applyFont="1" applyFill="1" applyBorder="1"/>
    <xf numFmtId="0" fontId="35" fillId="29" borderId="6" xfId="3" applyFont="1" applyFill="1" applyBorder="1" applyAlignment="1">
      <alignment horizontal="left"/>
    </xf>
    <xf numFmtId="2" fontId="35" fillId="29" borderId="7" xfId="3" applyNumberFormat="1" applyFont="1" applyFill="1" applyBorder="1" applyAlignment="1">
      <alignment horizontal="right"/>
    </xf>
    <xf numFmtId="2" fontId="36" fillId="29" borderId="7" xfId="3" applyNumberFormat="1" applyFont="1" applyFill="1" applyBorder="1" applyAlignment="1">
      <alignment horizontal="right"/>
    </xf>
    <xf numFmtId="1" fontId="35" fillId="29" borderId="7" xfId="3" applyNumberFormat="1" applyFont="1" applyFill="1" applyBorder="1" applyAlignment="1">
      <alignment horizontal="right"/>
    </xf>
    <xf numFmtId="1" fontId="35" fillId="29" borderId="8" xfId="3" applyNumberFormat="1" applyFont="1" applyFill="1" applyBorder="1" applyAlignment="1">
      <alignment horizontal="right"/>
    </xf>
    <xf numFmtId="166" fontId="35" fillId="29" borderId="7" xfId="3" applyNumberFormat="1" applyFont="1" applyFill="1" applyBorder="1" applyAlignment="1">
      <alignment horizontal="right"/>
    </xf>
    <xf numFmtId="0" fontId="35" fillId="29" borderId="7" xfId="3" applyFont="1" applyFill="1" applyBorder="1"/>
    <xf numFmtId="166" fontId="35" fillId="29" borderId="7" xfId="3" applyNumberFormat="1" applyFont="1" applyFill="1" applyBorder="1"/>
    <xf numFmtId="9" fontId="35" fillId="29" borderId="7" xfId="3" applyNumberFormat="1" applyFont="1" applyFill="1" applyBorder="1"/>
    <xf numFmtId="0" fontId="35" fillId="29" borderId="9" xfId="3" applyFont="1" applyFill="1" applyBorder="1"/>
    <xf numFmtId="0" fontId="22" fillId="30" borderId="10" xfId="3" applyFont="1" applyFill="1" applyBorder="1" applyAlignment="1">
      <alignment horizontal="left"/>
    </xf>
    <xf numFmtId="2" fontId="22" fillId="30" borderId="11" xfId="3" applyNumberFormat="1" applyFont="1" applyFill="1" applyBorder="1" applyAlignment="1">
      <alignment horizontal="right"/>
    </xf>
    <xf numFmtId="1" fontId="22" fillId="30" borderId="11" xfId="3" applyNumberFormat="1" applyFont="1" applyFill="1" applyBorder="1" applyAlignment="1">
      <alignment horizontal="right"/>
    </xf>
    <xf numFmtId="1" fontId="22" fillId="30" borderId="12" xfId="3" applyNumberFormat="1" applyFont="1" applyFill="1" applyBorder="1" applyAlignment="1">
      <alignment horizontal="right"/>
    </xf>
    <xf numFmtId="0" fontId="22" fillId="30" borderId="11" xfId="3" applyFont="1" applyFill="1" applyBorder="1"/>
    <xf numFmtId="166" fontId="22" fillId="30" borderId="11" xfId="3" applyNumberFormat="1" applyFont="1" applyFill="1" applyBorder="1"/>
    <xf numFmtId="9" fontId="22" fillId="30" borderId="11" xfId="3" applyNumberFormat="1" applyFont="1" applyFill="1" applyBorder="1"/>
    <xf numFmtId="0" fontId="22" fillId="30" borderId="13" xfId="3" applyFont="1" applyFill="1" applyBorder="1"/>
    <xf numFmtId="0" fontId="22" fillId="25" borderId="10" xfId="3" applyFont="1" applyFill="1" applyBorder="1" applyAlignment="1">
      <alignment horizontal="left"/>
    </xf>
    <xf numFmtId="0" fontId="22" fillId="25" borderId="13" xfId="3" applyFont="1" applyFill="1" applyBorder="1"/>
    <xf numFmtId="0" fontId="22" fillId="25" borderId="14" xfId="3" applyFont="1" applyFill="1" applyBorder="1" applyAlignment="1">
      <alignment horizontal="left"/>
    </xf>
    <xf numFmtId="0" fontId="22" fillId="25" borderId="15" xfId="3" applyFont="1" applyFill="1" applyBorder="1"/>
    <xf numFmtId="0" fontId="22" fillId="25" borderId="16" xfId="3" applyFont="1" applyFill="1" applyBorder="1" applyAlignment="1">
      <alignment horizontal="left"/>
    </xf>
    <xf numFmtId="1" fontId="22" fillId="25" borderId="17" xfId="3" applyNumberFormat="1" applyFont="1" applyFill="1" applyBorder="1" applyAlignment="1">
      <alignment horizontal="right"/>
    </xf>
    <xf numFmtId="2" fontId="22" fillId="25" borderId="17" xfId="3" applyNumberFormat="1" applyFont="1" applyFill="1" applyBorder="1" applyAlignment="1">
      <alignment horizontal="right"/>
    </xf>
    <xf numFmtId="1" fontId="22" fillId="25" borderId="18" xfId="3" applyNumberFormat="1" applyFont="1" applyFill="1" applyBorder="1" applyAlignment="1">
      <alignment horizontal="right"/>
    </xf>
    <xf numFmtId="167" fontId="22" fillId="25" borderId="17" xfId="3" applyNumberFormat="1" applyFont="1" applyFill="1" applyBorder="1" applyAlignment="1">
      <alignment horizontal="right"/>
    </xf>
    <xf numFmtId="0" fontId="22" fillId="25" borderId="17" xfId="3" applyFont="1" applyFill="1" applyBorder="1"/>
    <xf numFmtId="166" fontId="22" fillId="25" borderId="17" xfId="3" applyNumberFormat="1" applyFont="1" applyFill="1" applyBorder="1"/>
    <xf numFmtId="9" fontId="22" fillId="25" borderId="17" xfId="3" applyNumberFormat="1" applyFont="1" applyFill="1" applyBorder="1"/>
    <xf numFmtId="0" fontId="22" fillId="25" borderId="19" xfId="3" applyFont="1" applyFill="1" applyBorder="1"/>
    <xf numFmtId="0" fontId="22" fillId="29" borderId="3" xfId="3" applyFont="1" applyFill="1" applyBorder="1" applyAlignment="1">
      <alignment horizontal="left"/>
    </xf>
    <xf numFmtId="2" fontId="22" fillId="29" borderId="4" xfId="3" applyNumberFormat="1" applyFont="1" applyFill="1" applyBorder="1" applyAlignment="1">
      <alignment horizontal="right"/>
    </xf>
    <xf numFmtId="2" fontId="19" fillId="29" borderId="4" xfId="3" applyNumberFormat="1" applyFont="1" applyFill="1" applyBorder="1" applyAlignment="1">
      <alignment horizontal="right"/>
    </xf>
    <xf numFmtId="1" fontId="22" fillId="29" borderId="4" xfId="3" applyNumberFormat="1" applyFont="1" applyFill="1" applyBorder="1" applyAlignment="1">
      <alignment horizontal="right"/>
    </xf>
    <xf numFmtId="1" fontId="22" fillId="29" borderId="1" xfId="3" applyNumberFormat="1" applyFont="1" applyFill="1" applyBorder="1" applyAlignment="1">
      <alignment horizontal="right"/>
    </xf>
    <xf numFmtId="166" fontId="22" fillId="29" borderId="4" xfId="3" applyNumberFormat="1" applyFont="1" applyFill="1" applyBorder="1" applyAlignment="1">
      <alignment horizontal="right"/>
    </xf>
    <xf numFmtId="0" fontId="22" fillId="29" borderId="4" xfId="3" applyFont="1" applyFill="1" applyBorder="1"/>
    <xf numFmtId="166" fontId="22" fillId="29" borderId="4" xfId="3" applyNumberFormat="1" applyFont="1" applyFill="1" applyBorder="1"/>
    <xf numFmtId="9" fontId="22" fillId="29" borderId="4" xfId="3" applyNumberFormat="1" applyFont="1" applyFill="1" applyBorder="1"/>
    <xf numFmtId="0" fontId="22" fillId="29" borderId="5" xfId="3" applyFont="1" applyFill="1" applyBorder="1"/>
    <xf numFmtId="0" fontId="22" fillId="29" borderId="20" xfId="3" applyFont="1" applyFill="1" applyBorder="1" applyAlignment="1">
      <alignment horizontal="left"/>
    </xf>
    <xf numFmtId="0" fontId="22" fillId="29" borderId="21" xfId="3" applyFont="1" applyFill="1" applyBorder="1"/>
    <xf numFmtId="0" fontId="22" fillId="29" borderId="6" xfId="3" applyFont="1" applyFill="1" applyBorder="1" applyAlignment="1">
      <alignment horizontal="left"/>
    </xf>
    <xf numFmtId="2" fontId="22" fillId="29" borderId="7" xfId="3" applyNumberFormat="1" applyFont="1" applyFill="1" applyBorder="1" applyAlignment="1">
      <alignment horizontal="right"/>
    </xf>
    <xf numFmtId="2" fontId="19" fillId="29" borderId="7" xfId="3" applyNumberFormat="1" applyFont="1" applyFill="1" applyBorder="1" applyAlignment="1">
      <alignment horizontal="right"/>
    </xf>
    <xf numFmtId="1" fontId="22" fillId="29" borderId="7" xfId="3" applyNumberFormat="1" applyFont="1" applyFill="1" applyBorder="1" applyAlignment="1">
      <alignment horizontal="right"/>
    </xf>
    <xf numFmtId="1" fontId="22" fillId="29" borderId="8" xfId="3" applyNumberFormat="1" applyFont="1" applyFill="1" applyBorder="1" applyAlignment="1">
      <alignment horizontal="right"/>
    </xf>
    <xf numFmtId="166" fontId="22" fillId="29" borderId="7" xfId="3" applyNumberFormat="1" applyFont="1" applyFill="1" applyBorder="1" applyAlignment="1">
      <alignment horizontal="right"/>
    </xf>
    <xf numFmtId="0" fontId="22" fillId="29" borderId="7" xfId="3" applyFont="1" applyFill="1" applyBorder="1"/>
    <xf numFmtId="166" fontId="22" fillId="29" borderId="7" xfId="3" applyNumberFormat="1" applyFont="1" applyFill="1" applyBorder="1"/>
    <xf numFmtId="9" fontId="22" fillId="29" borderId="7" xfId="3" applyNumberFormat="1" applyFont="1" applyFill="1" applyBorder="1"/>
    <xf numFmtId="0" fontId="22" fillId="29" borderId="9" xfId="3" applyFont="1" applyFill="1" applyBorder="1"/>
    <xf numFmtId="0" fontId="50" fillId="0" borderId="0" xfId="3" applyFont="1"/>
    <xf numFmtId="0" fontId="8" fillId="0" borderId="0" xfId="3" applyFont="1"/>
    <xf numFmtId="0" fontId="35" fillId="30" borderId="3" xfId="3" applyFont="1" applyFill="1" applyBorder="1" applyAlignment="1">
      <alignment horizontal="left"/>
    </xf>
    <xf numFmtId="2" fontId="35" fillId="30" borderId="4" xfId="3" applyNumberFormat="1" applyFont="1" applyFill="1" applyBorder="1" applyAlignment="1">
      <alignment horizontal="right"/>
    </xf>
    <xf numFmtId="2" fontId="36" fillId="30" borderId="4" xfId="3" applyNumberFormat="1" applyFont="1" applyFill="1" applyBorder="1" applyAlignment="1">
      <alignment horizontal="right"/>
    </xf>
    <xf numFmtId="1" fontId="35" fillId="30" borderId="4" xfId="3" applyNumberFormat="1" applyFont="1" applyFill="1" applyBorder="1" applyAlignment="1">
      <alignment horizontal="right"/>
    </xf>
    <xf numFmtId="1" fontId="35" fillId="30" borderId="1" xfId="3" applyNumberFormat="1" applyFont="1" applyFill="1" applyBorder="1" applyAlignment="1">
      <alignment horizontal="right"/>
    </xf>
    <xf numFmtId="0" fontId="35" fillId="30" borderId="4" xfId="3" applyFont="1" applyFill="1" applyBorder="1"/>
    <xf numFmtId="166" fontId="35" fillId="30" borderId="4" xfId="3" applyNumberFormat="1" applyFont="1" applyFill="1" applyBorder="1"/>
    <xf numFmtId="9" fontId="35" fillId="30" borderId="4" xfId="3" applyNumberFormat="1" applyFont="1" applyFill="1" applyBorder="1"/>
    <xf numFmtId="0" fontId="35" fillId="30" borderId="5" xfId="3" applyFont="1" applyFill="1" applyBorder="1"/>
    <xf numFmtId="0" fontId="35" fillId="30" borderId="20" xfId="3" applyFont="1" applyFill="1" applyBorder="1" applyAlignment="1">
      <alignment horizontal="left"/>
    </xf>
    <xf numFmtId="0" fontId="35" fillId="30" borderId="21" xfId="3" applyFont="1" applyFill="1" applyBorder="1"/>
    <xf numFmtId="1" fontId="36" fillId="30" borderId="0" xfId="3" applyNumberFormat="1" applyFont="1" applyFill="1" applyAlignment="1">
      <alignment horizontal="right"/>
    </xf>
    <xf numFmtId="167" fontId="22" fillId="25" borderId="7" xfId="3" applyNumberFormat="1" applyFont="1" applyFill="1" applyBorder="1" applyAlignment="1">
      <alignment horizontal="right"/>
    </xf>
    <xf numFmtId="166" fontId="22" fillId="25" borderId="17" xfId="3" applyNumberFormat="1" applyFont="1" applyFill="1" applyBorder="1" applyAlignment="1">
      <alignment horizontal="right"/>
    </xf>
    <xf numFmtId="2" fontId="19" fillId="25" borderId="17" xfId="3" applyNumberFormat="1" applyFont="1" applyFill="1" applyBorder="1" applyAlignment="1">
      <alignment horizontal="right"/>
    </xf>
    <xf numFmtId="0" fontId="22" fillId="30" borderId="3" xfId="3" applyFont="1" applyFill="1" applyBorder="1" applyAlignment="1">
      <alignment horizontal="left"/>
    </xf>
    <xf numFmtId="2" fontId="19" fillId="30" borderId="4" xfId="3" applyNumberFormat="1" applyFont="1" applyFill="1" applyBorder="1" applyAlignment="1">
      <alignment horizontal="right"/>
    </xf>
    <xf numFmtId="1" fontId="22" fillId="30" borderId="4" xfId="3" applyNumberFormat="1" applyFont="1" applyFill="1" applyBorder="1" applyAlignment="1">
      <alignment horizontal="right"/>
    </xf>
    <xf numFmtId="1" fontId="22" fillId="30" borderId="1" xfId="3" applyNumberFormat="1" applyFont="1" applyFill="1" applyBorder="1" applyAlignment="1">
      <alignment horizontal="right"/>
    </xf>
    <xf numFmtId="2" fontId="22" fillId="30" borderId="4" xfId="3" applyNumberFormat="1" applyFont="1" applyFill="1" applyBorder="1" applyAlignment="1">
      <alignment horizontal="right"/>
    </xf>
    <xf numFmtId="0" fontId="22" fillId="30" borderId="4" xfId="3" applyFont="1" applyFill="1" applyBorder="1"/>
    <xf numFmtId="166" fontId="22" fillId="30" borderId="4" xfId="3" applyNumberFormat="1" applyFont="1" applyFill="1" applyBorder="1"/>
    <xf numFmtId="9" fontId="22" fillId="30" borderId="4" xfId="3" applyNumberFormat="1" applyFont="1" applyFill="1" applyBorder="1"/>
    <xf numFmtId="0" fontId="22" fillId="30" borderId="5" xfId="3" applyFont="1" applyFill="1" applyBorder="1"/>
    <xf numFmtId="0" fontId="22" fillId="30" borderId="20" xfId="3" applyFont="1" applyFill="1" applyBorder="1" applyAlignment="1">
      <alignment horizontal="left"/>
    </xf>
    <xf numFmtId="0" fontId="22" fillId="30" borderId="21" xfId="3" applyFont="1" applyFill="1" applyBorder="1"/>
    <xf numFmtId="167" fontId="22" fillId="29" borderId="11" xfId="3" applyNumberFormat="1" applyFont="1" applyFill="1" applyBorder="1" applyAlignment="1">
      <alignment horizontal="right"/>
    </xf>
    <xf numFmtId="167" fontId="19" fillId="29" borderId="17" xfId="3" applyNumberFormat="1" applyFont="1" applyFill="1" applyBorder="1" applyAlignment="1">
      <alignment horizontal="right"/>
    </xf>
    <xf numFmtId="2" fontId="30" fillId="31" borderId="2" xfId="0" applyNumberFormat="1" applyFont="1" applyFill="1" applyBorder="1"/>
    <xf numFmtId="2" fontId="30" fillId="2" borderId="0" xfId="1" applyNumberFormat="1" applyFont="1"/>
    <xf numFmtId="2" fontId="30" fillId="2" borderId="2" xfId="1" applyNumberFormat="1" applyFont="1" applyBorder="1"/>
    <xf numFmtId="0" fontId="8" fillId="0" borderId="0" xfId="0" applyFont="1"/>
    <xf numFmtId="2" fontId="51" fillId="0" borderId="0" xfId="3" applyNumberFormat="1" applyFont="1"/>
    <xf numFmtId="2" fontId="8" fillId="0" borderId="0" xfId="3" applyNumberFormat="1" applyFont="1"/>
    <xf numFmtId="2" fontId="8" fillId="0" borderId="0" xfId="3" applyNumberFormat="1" applyFont="1" applyAlignment="1">
      <alignment horizontal="right"/>
    </xf>
    <xf numFmtId="167" fontId="8" fillId="0" borderId="0" xfId="3" applyNumberFormat="1" applyFont="1"/>
    <xf numFmtId="0" fontId="8" fillId="0" borderId="3" xfId="3" applyFont="1" applyBorder="1"/>
    <xf numFmtId="0" fontId="8" fillId="0" borderId="20" xfId="3" applyFont="1" applyBorder="1"/>
    <xf numFmtId="2" fontId="8" fillId="0" borderId="0" xfId="3" applyNumberFormat="1" applyFont="1" applyAlignment="1">
      <alignment wrapText="1"/>
    </xf>
    <xf numFmtId="0" fontId="8" fillId="0" borderId="6" xfId="3" applyFont="1" applyBorder="1"/>
    <xf numFmtId="2" fontId="8" fillId="0" borderId="7" xfId="3" applyNumberFormat="1" applyFont="1" applyBorder="1" applyAlignment="1">
      <alignment wrapText="1"/>
    </xf>
    <xf numFmtId="167" fontId="8" fillId="0" borderId="0" xfId="0" applyNumberFormat="1" applyFont="1"/>
    <xf numFmtId="167" fontId="8" fillId="0" borderId="15" xfId="0" applyNumberFormat="1" applyFont="1" applyBorder="1"/>
    <xf numFmtId="167" fontId="8" fillId="0" borderId="14" xfId="0" applyNumberFormat="1" applyFont="1" applyBorder="1"/>
    <xf numFmtId="167" fontId="8" fillId="0" borderId="16" xfId="0" applyNumberFormat="1" applyFont="1" applyBorder="1"/>
    <xf numFmtId="167" fontId="8" fillId="0" borderId="17" xfId="0" applyNumberFormat="1" applyFont="1" applyBorder="1"/>
    <xf numFmtId="167" fontId="8" fillId="0" borderId="19" xfId="0" applyNumberFormat="1" applyFont="1" applyBorder="1"/>
    <xf numFmtId="170" fontId="26" fillId="20" borderId="14" xfId="3" applyNumberFormat="1" applyFill="1" applyBorder="1" applyAlignment="1">
      <alignment horizontal="right"/>
    </xf>
    <xf numFmtId="167" fontId="0" fillId="0" borderId="0" xfId="0" applyNumberFormat="1"/>
    <xf numFmtId="167" fontId="0" fillId="0" borderId="17" xfId="0" applyNumberFormat="1" applyBorder="1"/>
    <xf numFmtId="167" fontId="0" fillId="0" borderId="14" xfId="0" applyNumberFormat="1" applyBorder="1"/>
    <xf numFmtId="167" fontId="0" fillId="0" borderId="16" xfId="0" applyNumberFormat="1" applyBorder="1"/>
    <xf numFmtId="167" fontId="0" fillId="0" borderId="15" xfId="0" applyNumberFormat="1" applyBorder="1"/>
    <xf numFmtId="167" fontId="0" fillId="0" borderId="19" xfId="0" applyNumberFormat="1" applyBorder="1"/>
    <xf numFmtId="167" fontId="10" fillId="0" borderId="0" xfId="0" applyNumberFormat="1" applyFont="1"/>
    <xf numFmtId="167" fontId="10" fillId="0" borderId="15" xfId="0" applyNumberFormat="1" applyFont="1" applyBorder="1"/>
    <xf numFmtId="167" fontId="10" fillId="0" borderId="19" xfId="0" applyNumberFormat="1" applyFont="1" applyBorder="1"/>
    <xf numFmtId="0" fontId="8" fillId="14" borderId="0" xfId="3" applyFont="1" applyFill="1"/>
    <xf numFmtId="168" fontId="10" fillId="20" borderId="14" xfId="0" applyNumberFormat="1" applyFont="1" applyFill="1" applyBorder="1"/>
    <xf numFmtId="167" fontId="26" fillId="15" borderId="14" xfId="3" applyNumberFormat="1" applyFill="1" applyBorder="1" applyAlignment="1">
      <alignment horizontal="right"/>
    </xf>
    <xf numFmtId="167" fontId="26" fillId="16" borderId="14" xfId="3" applyNumberFormat="1" applyFill="1" applyBorder="1" applyAlignment="1">
      <alignment horizontal="right"/>
    </xf>
    <xf numFmtId="167" fontId="26" fillId="23" borderId="14" xfId="3" applyNumberFormat="1" applyFill="1" applyBorder="1" applyAlignment="1">
      <alignment horizontal="right"/>
    </xf>
    <xf numFmtId="167" fontId="26" fillId="0" borderId="14" xfId="3" applyNumberFormat="1" applyBorder="1" applyAlignment="1">
      <alignment horizontal="right"/>
    </xf>
    <xf numFmtId="167" fontId="50" fillId="23" borderId="14" xfId="3" applyNumberFormat="1" applyFont="1" applyFill="1" applyBorder="1" applyAlignment="1">
      <alignment horizontal="right"/>
    </xf>
    <xf numFmtId="167" fontId="50" fillId="23" borderId="0" xfId="3" applyNumberFormat="1" applyFont="1" applyFill="1"/>
    <xf numFmtId="167" fontId="50" fillId="23" borderId="15" xfId="3" applyNumberFormat="1" applyFont="1" applyFill="1" applyBorder="1"/>
    <xf numFmtId="167" fontId="26" fillId="0" borderId="16" xfId="3" applyNumberFormat="1" applyBorder="1" applyAlignment="1">
      <alignment horizontal="right"/>
    </xf>
    <xf numFmtId="169" fontId="26" fillId="15" borderId="0" xfId="3" applyNumberFormat="1" applyFill="1"/>
    <xf numFmtId="167" fontId="26" fillId="20" borderId="14" xfId="3" applyNumberFormat="1" applyFill="1" applyBorder="1" applyAlignment="1">
      <alignment horizontal="right"/>
    </xf>
    <xf numFmtId="167" fontId="50" fillId="16" borderId="14" xfId="3" applyNumberFormat="1" applyFont="1" applyFill="1" applyBorder="1" applyAlignment="1">
      <alignment horizontal="right"/>
    </xf>
    <xf numFmtId="170" fontId="26" fillId="20" borderId="0" xfId="3" applyNumberFormat="1" applyFill="1"/>
    <xf numFmtId="170" fontId="26" fillId="20" borderId="15" xfId="3" applyNumberFormat="1" applyFill="1" applyBorder="1"/>
    <xf numFmtId="170" fontId="26" fillId="16" borderId="15" xfId="3" applyNumberFormat="1" applyFill="1" applyBorder="1"/>
    <xf numFmtId="167" fontId="17" fillId="20" borderId="14" xfId="3" applyNumberFormat="1" applyFont="1" applyFill="1" applyBorder="1" applyAlignment="1">
      <alignment horizontal="right"/>
    </xf>
    <xf numFmtId="167" fontId="17" fillId="16" borderId="14" xfId="3" applyNumberFormat="1" applyFont="1" applyFill="1" applyBorder="1" applyAlignment="1">
      <alignment horizontal="right"/>
    </xf>
    <xf numFmtId="167" fontId="17" fillId="16" borderId="15" xfId="3" applyNumberFormat="1" applyFont="1" applyFill="1" applyBorder="1"/>
    <xf numFmtId="167" fontId="18" fillId="16" borderId="0" xfId="3" applyNumberFormat="1" applyFont="1" applyFill="1" applyAlignment="1">
      <alignment horizontal="right"/>
    </xf>
    <xf numFmtId="167" fontId="18" fillId="16" borderId="15" xfId="3" applyNumberFormat="1" applyFont="1" applyFill="1" applyBorder="1" applyAlignment="1">
      <alignment horizontal="right"/>
    </xf>
    <xf numFmtId="167" fontId="18" fillId="16" borderId="14" xfId="3" applyNumberFormat="1" applyFont="1" applyFill="1" applyBorder="1" applyAlignment="1">
      <alignment horizontal="right"/>
    </xf>
    <xf numFmtId="167" fontId="17" fillId="16" borderId="15" xfId="3" applyNumberFormat="1" applyFont="1" applyFill="1" applyBorder="1" applyAlignment="1">
      <alignment horizontal="right"/>
    </xf>
    <xf numFmtId="167" fontId="26" fillId="16" borderId="15" xfId="3" applyNumberFormat="1" applyFill="1" applyBorder="1" applyAlignment="1">
      <alignment horizontal="right"/>
    </xf>
    <xf numFmtId="171" fontId="26" fillId="16" borderId="14" xfId="3" applyNumberFormat="1" applyFill="1" applyBorder="1" applyAlignment="1">
      <alignment horizontal="right"/>
    </xf>
    <xf numFmtId="171" fontId="26" fillId="16" borderId="0" xfId="3" applyNumberFormat="1" applyFill="1"/>
    <xf numFmtId="171" fontId="26" fillId="16" borderId="15" xfId="3" applyNumberFormat="1" applyFill="1" applyBorder="1" applyAlignment="1">
      <alignment horizontal="right"/>
    </xf>
    <xf numFmtId="171" fontId="26" fillId="20" borderId="0" xfId="3" applyNumberFormat="1" applyFill="1"/>
    <xf numFmtId="167" fontId="17" fillId="14" borderId="15" xfId="3" applyNumberFormat="1" applyFont="1" applyFill="1" applyBorder="1"/>
    <xf numFmtId="0" fontId="7" fillId="0" borderId="4" xfId="3" applyFont="1" applyBorder="1" applyAlignment="1">
      <alignment wrapText="1"/>
    </xf>
    <xf numFmtId="167" fontId="26" fillId="0" borderId="9" xfId="3" applyNumberFormat="1" applyBorder="1"/>
    <xf numFmtId="167" fontId="48" fillId="0" borderId="7" xfId="3" applyNumberFormat="1" applyFont="1" applyBorder="1"/>
    <xf numFmtId="167" fontId="26" fillId="0" borderId="7" xfId="3" applyNumberFormat="1" applyBorder="1"/>
    <xf numFmtId="167" fontId="10" fillId="0" borderId="17" xfId="0" applyNumberFormat="1" applyFont="1" applyBorder="1"/>
    <xf numFmtId="0" fontId="7" fillId="0" borderId="0" xfId="3" applyFont="1"/>
    <xf numFmtId="11" fontId="26" fillId="20" borderId="0" xfId="3" applyNumberFormat="1" applyFill="1"/>
    <xf numFmtId="11" fontId="26" fillId="20" borderId="34" xfId="3" applyNumberFormat="1" applyFill="1" applyBorder="1"/>
    <xf numFmtId="168" fontId="17" fillId="14" borderId="33" xfId="3" applyNumberFormat="1" applyFont="1" applyFill="1" applyBorder="1"/>
    <xf numFmtId="169" fontId="17" fillId="14" borderId="0" xfId="3" applyNumberFormat="1" applyFont="1" applyFill="1"/>
    <xf numFmtId="0" fontId="7" fillId="0" borderId="0" xfId="3" quotePrefix="1" applyFont="1"/>
    <xf numFmtId="0" fontId="37" fillId="0" borderId="0" xfId="3" applyFont="1" applyAlignment="1">
      <alignment wrapText="1"/>
    </xf>
    <xf numFmtId="0" fontId="37" fillId="0" borderId="0" xfId="3" applyFont="1"/>
    <xf numFmtId="167" fontId="17" fillId="20" borderId="33" xfId="3" applyNumberFormat="1" applyFont="1" applyFill="1" applyBorder="1"/>
    <xf numFmtId="170" fontId="26" fillId="14" borderId="33" xfId="3" applyNumberFormat="1" applyFill="1" applyBorder="1"/>
    <xf numFmtId="171" fontId="26" fillId="20" borderId="33" xfId="3" applyNumberFormat="1" applyFill="1" applyBorder="1"/>
    <xf numFmtId="174" fontId="26" fillId="20" borderId="34" xfId="3" applyNumberFormat="1" applyFill="1" applyBorder="1"/>
    <xf numFmtId="169" fontId="26" fillId="15" borderId="33" xfId="3" applyNumberFormat="1" applyFill="1" applyBorder="1"/>
    <xf numFmtId="167" fontId="26" fillId="15" borderId="34" xfId="3" applyNumberFormat="1" applyFill="1" applyBorder="1"/>
    <xf numFmtId="1" fontId="26" fillId="20" borderId="14" xfId="3" applyNumberFormat="1" applyFill="1" applyBorder="1"/>
    <xf numFmtId="169" fontId="26" fillId="14" borderId="14" xfId="3" applyNumberFormat="1" applyFill="1" applyBorder="1"/>
    <xf numFmtId="170" fontId="26" fillId="14" borderId="14" xfId="3" applyNumberFormat="1" applyFill="1" applyBorder="1"/>
    <xf numFmtId="173" fontId="26" fillId="14" borderId="16" xfId="3" applyNumberFormat="1" applyFill="1" applyBorder="1"/>
    <xf numFmtId="173" fontId="26" fillId="14" borderId="34" xfId="3" applyNumberFormat="1" applyFill="1" applyBorder="1"/>
    <xf numFmtId="170" fontId="26" fillId="14" borderId="0" xfId="3" applyNumberFormat="1" applyFill="1"/>
    <xf numFmtId="2" fontId="50" fillId="16" borderId="0" xfId="3" applyNumberFormat="1" applyFont="1" applyFill="1"/>
    <xf numFmtId="0" fontId="6" fillId="0" borderId="0" xfId="3" applyFont="1"/>
    <xf numFmtId="167" fontId="22" fillId="2" borderId="0" xfId="3" applyNumberFormat="1" applyFont="1" applyFill="1"/>
    <xf numFmtId="168" fontId="22" fillId="2" borderId="0" xfId="3" applyNumberFormat="1" applyFont="1" applyFill="1"/>
    <xf numFmtId="2" fontId="6" fillId="14" borderId="0" xfId="3" applyNumberFormat="1" applyFont="1" applyFill="1"/>
    <xf numFmtId="168" fontId="22" fillId="6" borderId="0" xfId="3" applyNumberFormat="1" applyFont="1" applyFill="1" applyAlignment="1">
      <alignment horizontal="right"/>
    </xf>
    <xf numFmtId="168" fontId="22" fillId="6" borderId="17" xfId="3" applyNumberFormat="1" applyFont="1" applyFill="1" applyBorder="1" applyAlignment="1">
      <alignment horizontal="right"/>
    </xf>
    <xf numFmtId="168" fontId="22" fillId="2" borderId="0" xfId="0" applyNumberFormat="1" applyFont="1" applyFill="1"/>
    <xf numFmtId="166" fontId="22" fillId="2" borderId="0" xfId="0" applyNumberFormat="1" applyFont="1" applyFill="1"/>
    <xf numFmtId="168" fontId="22" fillId="25" borderId="24" xfId="3" applyNumberFormat="1" applyFont="1" applyFill="1" applyBorder="1" applyAlignment="1">
      <alignment horizontal="right"/>
    </xf>
    <xf numFmtId="168" fontId="22" fillId="25" borderId="0" xfId="3" applyNumberFormat="1" applyFont="1" applyFill="1" applyAlignment="1">
      <alignment horizontal="right"/>
    </xf>
    <xf numFmtId="169" fontId="22" fillId="25" borderId="0" xfId="3" applyNumberFormat="1" applyFont="1" applyFill="1" applyAlignment="1">
      <alignment horizontal="right"/>
    </xf>
    <xf numFmtId="169" fontId="22" fillId="2" borderId="0" xfId="3" applyNumberFormat="1" applyFont="1" applyFill="1"/>
    <xf numFmtId="168" fontId="22" fillId="25" borderId="11" xfId="3" applyNumberFormat="1" applyFont="1" applyFill="1" applyBorder="1" applyAlignment="1">
      <alignment horizontal="right"/>
    </xf>
    <xf numFmtId="2" fontId="10" fillId="16" borderId="0" xfId="0" applyNumberFormat="1" applyFont="1" applyFill="1"/>
    <xf numFmtId="168" fontId="22" fillId="25" borderId="7" xfId="3" applyNumberFormat="1" applyFont="1" applyFill="1" applyBorder="1" applyAlignment="1">
      <alignment horizontal="right"/>
    </xf>
    <xf numFmtId="168" fontId="22" fillId="25" borderId="17" xfId="3" applyNumberFormat="1" applyFont="1" applyFill="1" applyBorder="1" applyAlignment="1">
      <alignment horizontal="right"/>
    </xf>
    <xf numFmtId="168" fontId="25" fillId="8" borderId="0" xfId="0" applyNumberFormat="1" applyFont="1" applyFill="1" applyAlignment="1">
      <alignment horizontal="right"/>
    </xf>
    <xf numFmtId="167" fontId="30" fillId="2" borderId="0" xfId="0" applyNumberFormat="1" applyFont="1" applyFill="1"/>
    <xf numFmtId="168" fontId="30" fillId="2" borderId="0" xfId="0" applyNumberFormat="1" applyFont="1" applyFill="1"/>
    <xf numFmtId="168" fontId="30" fillId="25" borderId="0" xfId="0" applyNumberFormat="1" applyFont="1" applyFill="1" applyAlignment="1">
      <alignment horizontal="right"/>
    </xf>
    <xf numFmtId="167" fontId="30" fillId="5" borderId="11" xfId="0" applyNumberFormat="1" applyFont="1" applyFill="1" applyBorder="1" applyAlignment="1">
      <alignment horizontal="right"/>
    </xf>
    <xf numFmtId="167" fontId="17" fillId="20" borderId="0" xfId="3" applyNumberFormat="1" applyFont="1" applyFill="1" applyAlignment="1">
      <alignment horizontal="right"/>
    </xf>
    <xf numFmtId="168" fontId="30" fillId="6" borderId="0" xfId="0" applyNumberFormat="1" applyFont="1" applyFill="1" applyAlignment="1">
      <alignment horizontal="right"/>
    </xf>
    <xf numFmtId="169" fontId="30" fillId="6" borderId="0" xfId="0" applyNumberFormat="1" applyFont="1" applyFill="1" applyAlignment="1">
      <alignment horizontal="right"/>
    </xf>
    <xf numFmtId="0" fontId="6" fillId="0" borderId="0" xfId="0" applyFont="1"/>
    <xf numFmtId="168" fontId="30" fillId="2" borderId="0" xfId="1" applyNumberFormat="1" applyFont="1"/>
    <xf numFmtId="0" fontId="6" fillId="0" borderId="0" xfId="0" quotePrefix="1" applyFont="1"/>
    <xf numFmtId="170" fontId="6" fillId="0" borderId="0" xfId="0" applyNumberFormat="1" applyFont="1"/>
    <xf numFmtId="169" fontId="6" fillId="0" borderId="0" xfId="0" applyNumberFormat="1" applyFont="1"/>
    <xf numFmtId="168" fontId="6" fillId="0" borderId="0" xfId="0" applyNumberFormat="1" applyFont="1"/>
    <xf numFmtId="168" fontId="6" fillId="0" borderId="0" xfId="3" applyNumberFormat="1" applyFont="1"/>
    <xf numFmtId="168" fontId="35" fillId="6" borderId="0" xfId="3" applyNumberFormat="1" applyFont="1" applyFill="1" applyAlignment="1">
      <alignment horizontal="right"/>
    </xf>
    <xf numFmtId="2" fontId="60" fillId="6" borderId="0" xfId="3" applyNumberFormat="1" applyFont="1" applyFill="1" applyAlignment="1">
      <alignment horizontal="right"/>
    </xf>
    <xf numFmtId="2" fontId="37" fillId="0" borderId="0" xfId="0" applyNumberFormat="1" applyFont="1"/>
    <xf numFmtId="2" fontId="37" fillId="0" borderId="7" xfId="0" applyNumberFormat="1" applyFont="1" applyBorder="1"/>
    <xf numFmtId="167" fontId="15" fillId="0" borderId="7" xfId="3" applyNumberFormat="1" applyFont="1" applyBorder="1"/>
    <xf numFmtId="0" fontId="5" fillId="0" borderId="4" xfId="3" applyFont="1" applyBorder="1" applyAlignment="1">
      <alignment wrapText="1"/>
    </xf>
    <xf numFmtId="0" fontId="37" fillId="0" borderId="4" xfId="0" applyFont="1" applyBorder="1" applyAlignment="1">
      <alignment wrapText="1"/>
    </xf>
    <xf numFmtId="166" fontId="48" fillId="0" borderId="0" xfId="3" applyNumberFormat="1" applyFont="1"/>
    <xf numFmtId="166" fontId="26" fillId="0" borderId="21" xfId="3" applyNumberFormat="1" applyBorder="1"/>
    <xf numFmtId="166" fontId="48" fillId="0" borderId="7" xfId="3" applyNumberFormat="1" applyFont="1" applyBorder="1"/>
    <xf numFmtId="166" fontId="37" fillId="0" borderId="0" xfId="0" applyNumberFormat="1" applyFont="1"/>
    <xf numFmtId="166" fontId="37" fillId="0" borderId="7" xfId="0" applyNumberFormat="1" applyFont="1" applyBorder="1"/>
    <xf numFmtId="166" fontId="15" fillId="0" borderId="0" xfId="3" applyNumberFormat="1" applyFont="1"/>
    <xf numFmtId="166" fontId="15" fillId="0" borderId="7" xfId="3" applyNumberFormat="1" applyFont="1" applyBorder="1"/>
    <xf numFmtId="0" fontId="5" fillId="0" borderId="5" xfId="3" applyFont="1" applyBorder="1" applyAlignment="1">
      <alignment wrapText="1"/>
    </xf>
    <xf numFmtId="166" fontId="15" fillId="0" borderId="21" xfId="3" applyNumberFormat="1" applyFont="1" applyBorder="1"/>
    <xf numFmtId="0" fontId="4" fillId="0" borderId="5" xfId="3" applyFont="1" applyBorder="1" applyAlignment="1">
      <alignment wrapText="1"/>
    </xf>
    <xf numFmtId="0" fontId="4" fillId="0" borderId="4" xfId="3" applyFont="1" applyBorder="1" applyAlignment="1">
      <alignment wrapText="1"/>
    </xf>
    <xf numFmtId="166" fontId="14" fillId="0" borderId="9" xfId="3" applyNumberFormat="1" applyFont="1" applyBorder="1"/>
    <xf numFmtId="166" fontId="26" fillId="0" borderId="0" xfId="3" applyNumberFormat="1"/>
    <xf numFmtId="166" fontId="26" fillId="0" borderId="7" xfId="3" applyNumberFormat="1" applyBorder="1"/>
    <xf numFmtId="0" fontId="8" fillId="0" borderId="4" xfId="3" applyFont="1" applyBorder="1" applyAlignment="1">
      <alignment wrapText="1"/>
    </xf>
    <xf numFmtId="167" fontId="8" fillId="0" borderId="7" xfId="3" applyNumberFormat="1" applyFont="1" applyBorder="1" applyAlignment="1">
      <alignment wrapText="1"/>
    </xf>
    <xf numFmtId="166" fontId="48" fillId="0" borderId="0" xfId="3" applyNumberFormat="1" applyFont="1" applyAlignment="1">
      <alignment wrapText="1"/>
    </xf>
    <xf numFmtId="166" fontId="8" fillId="0" borderId="21" xfId="3" applyNumberFormat="1" applyFont="1" applyBorder="1"/>
    <xf numFmtId="166" fontId="8" fillId="0" borderId="7" xfId="3" applyNumberFormat="1" applyFont="1" applyBorder="1" applyAlignment="1">
      <alignment wrapText="1"/>
    </xf>
    <xf numFmtId="166" fontId="8" fillId="0" borderId="0" xfId="3" applyNumberFormat="1" applyFont="1" applyAlignment="1">
      <alignment wrapText="1"/>
    </xf>
    <xf numFmtId="166" fontId="48" fillId="0" borderId="7" xfId="3" applyNumberFormat="1" applyFont="1" applyBorder="1" applyAlignment="1">
      <alignment wrapText="1"/>
    </xf>
    <xf numFmtId="2" fontId="8" fillId="0" borderId="9" xfId="3" applyNumberFormat="1" applyFont="1" applyBorder="1"/>
    <xf numFmtId="166" fontId="26" fillId="20" borderId="14" xfId="3" applyNumberFormat="1" applyFill="1" applyBorder="1" applyAlignment="1">
      <alignment horizontal="right"/>
    </xf>
    <xf numFmtId="2" fontId="26" fillId="20" borderId="15" xfId="3" applyNumberFormat="1" applyFill="1" applyBorder="1" applyAlignment="1">
      <alignment horizontal="right"/>
    </xf>
    <xf numFmtId="166" fontId="26" fillId="23" borderId="14" xfId="3" applyNumberFormat="1" applyFill="1" applyBorder="1" applyAlignment="1">
      <alignment horizontal="right"/>
    </xf>
    <xf numFmtId="170" fontId="26" fillId="20" borderId="15" xfId="3" applyNumberFormat="1" applyFill="1" applyBorder="1" applyAlignment="1">
      <alignment horizontal="right"/>
    </xf>
    <xf numFmtId="166" fontId="17" fillId="14" borderId="0" xfId="3" applyNumberFormat="1" applyFont="1" applyFill="1" applyAlignment="1">
      <alignment horizontal="right"/>
    </xf>
    <xf numFmtId="166" fontId="26" fillId="14" borderId="0" xfId="3" applyNumberFormat="1" applyFill="1" applyAlignment="1">
      <alignment horizontal="right"/>
    </xf>
    <xf numFmtId="0" fontId="4" fillId="0" borderId="13" xfId="3" applyFont="1" applyBorder="1"/>
    <xf numFmtId="0" fontId="4" fillId="0" borderId="0" xfId="3" applyFont="1"/>
    <xf numFmtId="166" fontId="26" fillId="23" borderId="0" xfId="3" applyNumberFormat="1" applyFill="1"/>
    <xf numFmtId="166" fontId="26" fillId="15" borderId="0" xfId="3" applyNumberFormat="1" applyFill="1"/>
    <xf numFmtId="0" fontId="37" fillId="0" borderId="0" xfId="0" applyFont="1"/>
    <xf numFmtId="1" fontId="26" fillId="23" borderId="0" xfId="3" applyNumberFormat="1" applyFill="1"/>
    <xf numFmtId="1" fontId="26" fillId="15" borderId="0" xfId="3" applyNumberFormat="1" applyFill="1"/>
    <xf numFmtId="1" fontId="26" fillId="14" borderId="0" xfId="3" applyNumberFormat="1" applyFill="1"/>
    <xf numFmtId="166" fontId="9" fillId="15" borderId="0" xfId="3" applyNumberFormat="1" applyFont="1" applyFill="1"/>
    <xf numFmtId="166" fontId="26" fillId="14" borderId="0" xfId="3" applyNumberFormat="1" applyFill="1"/>
    <xf numFmtId="166" fontId="26" fillId="16" borderId="0" xfId="3" applyNumberFormat="1" applyFill="1"/>
    <xf numFmtId="1" fontId="11" fillId="15" borderId="0" xfId="3" applyNumberFormat="1" applyFont="1" applyFill="1"/>
    <xf numFmtId="1" fontId="26" fillId="14" borderId="0" xfId="3" applyNumberFormat="1" applyFill="1" applyAlignment="1">
      <alignment horizontal="right"/>
    </xf>
    <xf numFmtId="166" fontId="26" fillId="15" borderId="0" xfId="3" applyNumberFormat="1" applyFill="1" applyAlignment="1">
      <alignment horizontal="right"/>
    </xf>
    <xf numFmtId="1" fontId="26" fillId="15" borderId="0" xfId="3" applyNumberFormat="1" applyFill="1" applyAlignment="1">
      <alignment horizontal="right"/>
    </xf>
    <xf numFmtId="166" fontId="26" fillId="23" borderId="0" xfId="3" applyNumberFormat="1" applyFill="1" applyAlignment="1">
      <alignment horizontal="right"/>
    </xf>
    <xf numFmtId="1" fontId="26" fillId="23" borderId="0" xfId="3" applyNumberFormat="1" applyFill="1" applyAlignment="1">
      <alignment horizontal="right"/>
    </xf>
    <xf numFmtId="0" fontId="48" fillId="0" borderId="14" xfId="3" applyFont="1" applyBorder="1" applyAlignment="1">
      <alignment wrapText="1"/>
    </xf>
    <xf numFmtId="166" fontId="48" fillId="0" borderId="14" xfId="3" applyNumberFormat="1" applyFont="1" applyBorder="1"/>
    <xf numFmtId="2" fontId="48" fillId="0" borderId="14" xfId="3" applyNumberFormat="1" applyFont="1" applyBorder="1"/>
    <xf numFmtId="0" fontId="3" fillId="0" borderId="0" xfId="3" applyFont="1"/>
    <xf numFmtId="166" fontId="14" fillId="0" borderId="7" xfId="3" applyNumberFormat="1" applyFont="1" applyBorder="1"/>
    <xf numFmtId="2" fontId="26" fillId="14" borderId="14" xfId="3" applyNumberFormat="1" applyFill="1" applyBorder="1" applyAlignment="1">
      <alignment horizontal="right"/>
    </xf>
    <xf numFmtId="2" fontId="26" fillId="14" borderId="15" xfId="3" applyNumberFormat="1" applyFill="1" applyBorder="1"/>
    <xf numFmtId="1" fontId="17" fillId="20" borderId="0" xfId="3" applyNumberFormat="1" applyFont="1" applyFill="1" applyAlignment="1">
      <alignment horizontal="right"/>
    </xf>
    <xf numFmtId="166" fontId="26" fillId="20" borderId="0" xfId="3" applyNumberFormat="1" applyFill="1" applyAlignment="1">
      <alignment horizontal="right"/>
    </xf>
    <xf numFmtId="1" fontId="26" fillId="20" borderId="0" xfId="3" applyNumberFormat="1" applyFill="1" applyAlignment="1">
      <alignment horizontal="right"/>
    </xf>
    <xf numFmtId="168" fontId="26" fillId="16" borderId="14" xfId="3" applyNumberFormat="1" applyFill="1" applyBorder="1" applyAlignment="1">
      <alignment horizontal="right"/>
    </xf>
    <xf numFmtId="168" fontId="26" fillId="16" borderId="15" xfId="3" applyNumberFormat="1" applyFill="1" applyBorder="1"/>
    <xf numFmtId="1" fontId="17" fillId="14" borderId="0" xfId="3" applyNumberFormat="1" applyFont="1" applyFill="1" applyAlignment="1">
      <alignment horizontal="right"/>
    </xf>
    <xf numFmtId="168" fontId="26" fillId="20" borderId="0" xfId="3" applyNumberFormat="1" applyFill="1" applyAlignment="1">
      <alignment horizontal="right"/>
    </xf>
    <xf numFmtId="1" fontId="15" fillId="20" borderId="0" xfId="3" applyNumberFormat="1" applyFont="1" applyFill="1" applyAlignment="1">
      <alignment horizontal="right"/>
    </xf>
    <xf numFmtId="1" fontId="48" fillId="20" borderId="0" xfId="3" applyNumberFormat="1" applyFont="1" applyFill="1"/>
    <xf numFmtId="1" fontId="48" fillId="23" borderId="0" xfId="3" applyNumberFormat="1" applyFont="1" applyFill="1"/>
    <xf numFmtId="1" fontId="48" fillId="14" borderId="0" xfId="3" applyNumberFormat="1" applyFont="1" applyFill="1"/>
    <xf numFmtId="1" fontId="48" fillId="15" borderId="0" xfId="3" quotePrefix="1" applyNumberFormat="1" applyFont="1" applyFill="1"/>
    <xf numFmtId="1" fontId="48" fillId="15" borderId="0" xfId="3" applyNumberFormat="1" applyFont="1" applyFill="1"/>
    <xf numFmtId="166" fontId="26" fillId="23" borderId="15" xfId="3" applyNumberFormat="1" applyFill="1" applyBorder="1"/>
    <xf numFmtId="166" fontId="26" fillId="15" borderId="15" xfId="3" applyNumberFormat="1" applyFill="1" applyBorder="1"/>
    <xf numFmtId="168" fontId="26" fillId="20" borderId="15" xfId="3" applyNumberFormat="1" applyFill="1" applyBorder="1"/>
    <xf numFmtId="2" fontId="26" fillId="0" borderId="16" xfId="3" applyNumberFormat="1" applyBorder="1"/>
    <xf numFmtId="2" fontId="2" fillId="19" borderId="0" xfId="3" applyNumberFormat="1" applyFont="1" applyFill="1"/>
    <xf numFmtId="0" fontId="2" fillId="0" borderId="10" xfId="3" applyFont="1" applyBorder="1"/>
    <xf numFmtId="0" fontId="2" fillId="14" borderId="0" xfId="3" applyFont="1" applyFill="1"/>
    <xf numFmtId="0" fontId="2" fillId="0" borderId="11" xfId="3" applyFont="1" applyBorder="1"/>
    <xf numFmtId="168" fontId="26" fillId="0" borderId="17" xfId="3" applyNumberFormat="1" applyBorder="1"/>
    <xf numFmtId="2" fontId="10" fillId="0" borderId="19" xfId="3" applyNumberFormat="1" applyFont="1" applyBorder="1"/>
    <xf numFmtId="0" fontId="11" fillId="0" borderId="0" xfId="3" applyFont="1"/>
    <xf numFmtId="2" fontId="26" fillId="0" borderId="17" xfId="3" applyNumberFormat="1" applyBorder="1"/>
    <xf numFmtId="168" fontId="26" fillId="0" borderId="19" xfId="3" applyNumberFormat="1" applyBorder="1"/>
    <xf numFmtId="168" fontId="26" fillId="23" borderId="14" xfId="3" applyNumberFormat="1" applyFill="1" applyBorder="1"/>
    <xf numFmtId="168" fontId="26" fillId="20" borderId="0" xfId="3" applyNumberFormat="1" applyFill="1"/>
    <xf numFmtId="169" fontId="26" fillId="20" borderId="14" xfId="3" applyNumberFormat="1" applyFill="1" applyBorder="1"/>
    <xf numFmtId="2" fontId="26" fillId="0" borderId="19" xfId="3" applyNumberFormat="1" applyBorder="1"/>
    <xf numFmtId="169" fontId="26" fillId="15" borderId="15" xfId="3" applyNumberFormat="1" applyFill="1" applyBorder="1"/>
    <xf numFmtId="169" fontId="26" fillId="15" borderId="14" xfId="3" applyNumberFormat="1" applyFill="1" applyBorder="1" applyAlignment="1">
      <alignment horizontal="right"/>
    </xf>
    <xf numFmtId="168" fontId="26" fillId="14" borderId="15" xfId="3" applyNumberFormat="1" applyFill="1" applyBorder="1"/>
    <xf numFmtId="2" fontId="26" fillId="23" borderId="15" xfId="3" applyNumberFormat="1" applyFill="1" applyBorder="1"/>
    <xf numFmtId="2" fontId="26" fillId="23" borderId="14" xfId="3" applyNumberFormat="1" applyFill="1" applyBorder="1" applyAlignment="1">
      <alignment horizontal="right"/>
    </xf>
    <xf numFmtId="168" fontId="26" fillId="23" borderId="15" xfId="3" applyNumberFormat="1" applyFill="1" applyBorder="1"/>
    <xf numFmtId="169" fontId="26" fillId="0" borderId="19" xfId="3" applyNumberFormat="1" applyBorder="1"/>
    <xf numFmtId="169" fontId="26" fillId="23" borderId="14" xfId="3" applyNumberFormat="1" applyFill="1" applyBorder="1"/>
    <xf numFmtId="169" fontId="26" fillId="23" borderId="0" xfId="3" applyNumberFormat="1" applyFill="1"/>
    <xf numFmtId="169" fontId="26" fillId="23" borderId="15" xfId="3" applyNumberFormat="1" applyFill="1" applyBorder="1"/>
    <xf numFmtId="168" fontId="26" fillId="0" borderId="16" xfId="3" applyNumberFormat="1" applyBorder="1"/>
    <xf numFmtId="168" fontId="26" fillId="16" borderId="14" xfId="3" applyNumberFormat="1" applyFill="1" applyBorder="1"/>
    <xf numFmtId="169" fontId="26" fillId="0" borderId="17" xfId="3" applyNumberFormat="1" applyBorder="1"/>
    <xf numFmtId="2" fontId="26" fillId="0" borderId="15" xfId="3" applyNumberFormat="1" applyBorder="1"/>
    <xf numFmtId="167" fontId="26" fillId="15" borderId="14" xfId="3" applyNumberFormat="1" applyFill="1" applyBorder="1"/>
    <xf numFmtId="2" fontId="26" fillId="0" borderId="14" xfId="3" applyNumberFormat="1" applyBorder="1"/>
    <xf numFmtId="168" fontId="26" fillId="0" borderId="0" xfId="3" applyNumberFormat="1"/>
    <xf numFmtId="171" fontId="26" fillId="20" borderId="15" xfId="3" applyNumberFormat="1" applyFill="1" applyBorder="1"/>
    <xf numFmtId="168" fontId="8" fillId="0" borderId="17" xfId="0" applyNumberFormat="1" applyFont="1" applyBorder="1"/>
    <xf numFmtId="168" fontId="8" fillId="0" borderId="19" xfId="0" applyNumberFormat="1" applyFont="1" applyBorder="1"/>
    <xf numFmtId="167" fontId="17" fillId="20" borderId="15" xfId="3" applyNumberFormat="1" applyFont="1" applyFill="1" applyBorder="1" applyAlignment="1">
      <alignment horizontal="right"/>
    </xf>
    <xf numFmtId="2" fontId="26" fillId="14" borderId="15" xfId="3" applyNumberFormat="1" applyFill="1" applyBorder="1" applyAlignment="1">
      <alignment horizontal="right"/>
    </xf>
    <xf numFmtId="2" fontId="26" fillId="23" borderId="15" xfId="3" applyNumberFormat="1" applyFill="1" applyBorder="1" applyAlignment="1">
      <alignment horizontal="right"/>
    </xf>
    <xf numFmtId="167" fontId="26" fillId="23" borderId="15" xfId="3" applyNumberFormat="1" applyFill="1" applyBorder="1" applyAlignment="1">
      <alignment horizontal="right"/>
    </xf>
    <xf numFmtId="167" fontId="26" fillId="14" borderId="15" xfId="3" applyNumberFormat="1" applyFill="1" applyBorder="1" applyAlignment="1">
      <alignment horizontal="right"/>
    </xf>
    <xf numFmtId="167" fontId="26" fillId="20" borderId="15" xfId="3" applyNumberFormat="1" applyFill="1" applyBorder="1" applyAlignment="1">
      <alignment horizontal="right"/>
    </xf>
    <xf numFmtId="168" fontId="17" fillId="14" borderId="15" xfId="3" applyNumberFormat="1" applyFont="1" applyFill="1" applyBorder="1" applyAlignment="1">
      <alignment horizontal="right"/>
    </xf>
    <xf numFmtId="171" fontId="26" fillId="20" borderId="15" xfId="3" applyNumberFormat="1" applyFill="1" applyBorder="1" applyAlignment="1">
      <alignment horizontal="right"/>
    </xf>
    <xf numFmtId="167" fontId="17" fillId="14" borderId="14" xfId="3" applyNumberFormat="1" applyFont="1" applyFill="1" applyBorder="1"/>
    <xf numFmtId="168" fontId="10" fillId="0" borderId="19" xfId="0" applyNumberFormat="1" applyFont="1" applyBorder="1"/>
    <xf numFmtId="168" fontId="10" fillId="0" borderId="17" xfId="0" applyNumberFormat="1" applyFont="1" applyBorder="1"/>
    <xf numFmtId="168" fontId="10" fillId="23" borderId="14" xfId="0" applyNumberFormat="1" applyFont="1" applyFill="1" applyBorder="1"/>
    <xf numFmtId="168" fontId="10" fillId="23" borderId="0" xfId="0" applyNumberFormat="1" applyFont="1" applyFill="1"/>
    <xf numFmtId="168" fontId="10" fillId="23" borderId="15" xfId="0" applyNumberFormat="1" applyFont="1" applyFill="1" applyBorder="1"/>
    <xf numFmtId="168" fontId="0" fillId="0" borderId="19" xfId="0" applyNumberFormat="1" applyBorder="1"/>
    <xf numFmtId="0" fontId="2" fillId="0" borderId="0" xfId="3" applyFont="1"/>
    <xf numFmtId="168" fontId="10" fillId="16" borderId="14" xfId="0" applyNumberFormat="1" applyFont="1" applyFill="1" applyBorder="1"/>
    <xf numFmtId="167" fontId="2" fillId="15" borderId="0" xfId="3" quotePrefix="1" applyNumberFormat="1" applyFont="1" applyFill="1"/>
    <xf numFmtId="2" fontId="2" fillId="15" borderId="0" xfId="3" applyNumberFormat="1" applyFont="1" applyFill="1"/>
    <xf numFmtId="168" fontId="2" fillId="14" borderId="0" xfId="3" applyNumberFormat="1" applyFont="1" applyFill="1"/>
    <xf numFmtId="2" fontId="48" fillId="16" borderId="14" xfId="3" applyNumberFormat="1" applyFont="1" applyFill="1" applyBorder="1"/>
    <xf numFmtId="1" fontId="40" fillId="6" borderId="0" xfId="3" applyNumberFormat="1" applyFont="1" applyFill="1" applyAlignment="1">
      <alignment horizontal="right"/>
    </xf>
    <xf numFmtId="1" fontId="1" fillId="20" borderId="0" xfId="3" applyNumberFormat="1" applyFont="1" applyFill="1"/>
    <xf numFmtId="167" fontId="1" fillId="23" borderId="0" xfId="3" applyNumberFormat="1" applyFont="1" applyFill="1"/>
    <xf numFmtId="167" fontId="48" fillId="14" borderId="0" xfId="3" applyNumberFormat="1" applyFont="1" applyFill="1"/>
    <xf numFmtId="2" fontId="48" fillId="14" borderId="0" xfId="3" applyNumberFormat="1" applyFont="1" applyFill="1"/>
    <xf numFmtId="166" fontId="48" fillId="23" borderId="0" xfId="3" applyNumberFormat="1" applyFont="1" applyFill="1"/>
    <xf numFmtId="168" fontId="48" fillId="23" borderId="0" xfId="3" applyNumberFormat="1" applyFont="1" applyFill="1"/>
    <xf numFmtId="169" fontId="26" fillId="16" borderId="14" xfId="3" applyNumberFormat="1" applyFill="1" applyBorder="1"/>
    <xf numFmtId="169" fontId="26" fillId="16" borderId="15" xfId="3" applyNumberFormat="1" applyFill="1" applyBorder="1"/>
    <xf numFmtId="168" fontId="10" fillId="16" borderId="0" xfId="0" applyNumberFormat="1" applyFont="1" applyFill="1"/>
    <xf numFmtId="168" fontId="10" fillId="16" borderId="15" xfId="0" applyNumberFormat="1" applyFont="1" applyFill="1" applyBorder="1"/>
    <xf numFmtId="168" fontId="18" fillId="14" borderId="0" xfId="3" applyNumberFormat="1" applyFont="1" applyFill="1" applyAlignment="1">
      <alignment horizontal="right"/>
    </xf>
    <xf numFmtId="171" fontId="26" fillId="20" borderId="14" xfId="3" applyNumberFormat="1" applyFill="1" applyBorder="1" applyAlignment="1">
      <alignment horizontal="right"/>
    </xf>
    <xf numFmtId="0" fontId="1" fillId="0" borderId="0" xfId="3" applyFont="1"/>
    <xf numFmtId="167" fontId="1" fillId="0" borderId="0" xfId="3" applyNumberFormat="1" applyFont="1"/>
    <xf numFmtId="167" fontId="37" fillId="0" borderId="0" xfId="0" applyNumberFormat="1" applyFont="1"/>
    <xf numFmtId="166" fontId="26" fillId="20" borderId="0" xfId="3" applyNumberFormat="1" applyFill="1"/>
    <xf numFmtId="1" fontId="26" fillId="16" borderId="0" xfId="3" applyNumberFormat="1" applyFill="1"/>
    <xf numFmtId="166" fontId="26" fillId="16" borderId="0" xfId="3" applyNumberFormat="1" applyFill="1" applyAlignment="1">
      <alignment horizontal="right"/>
    </xf>
    <xf numFmtId="1" fontId="26" fillId="16" borderId="0" xfId="3" applyNumberFormat="1" applyFill="1" applyAlignment="1">
      <alignment horizontal="right"/>
    </xf>
    <xf numFmtId="166" fontId="48" fillId="16" borderId="0" xfId="3" applyNumberFormat="1" applyFont="1" applyFill="1" applyAlignment="1">
      <alignment horizontal="right"/>
    </xf>
    <xf numFmtId="166" fontId="53" fillId="16" borderId="0" xfId="3" applyNumberFormat="1" applyFont="1" applyFill="1"/>
    <xf numFmtId="1" fontId="48" fillId="16" borderId="0" xfId="3" applyNumberFormat="1" applyFont="1" applyFill="1" applyAlignment="1">
      <alignment horizontal="right"/>
    </xf>
    <xf numFmtId="168" fontId="26" fillId="23" borderId="0" xfId="3" applyNumberFormat="1" applyFill="1" applyAlignment="1">
      <alignment horizontal="right"/>
    </xf>
    <xf numFmtId="169" fontId="26" fillId="23" borderId="0" xfId="3" applyNumberFormat="1" applyFill="1" applyAlignment="1">
      <alignment horizontal="right"/>
    </xf>
    <xf numFmtId="166" fontId="11" fillId="16" borderId="0" xfId="3" applyNumberFormat="1" applyFont="1" applyFill="1"/>
    <xf numFmtId="172" fontId="26" fillId="20" borderId="14" xfId="3" applyNumberFormat="1" applyFill="1" applyBorder="1" applyAlignment="1">
      <alignment horizontal="right"/>
    </xf>
    <xf numFmtId="168" fontId="0" fillId="0" borderId="0" xfId="0" applyNumberForma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FF99CC"/>
      <color rgb="FFFF8AD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BR68"/>
  <sheetViews>
    <sheetView zoomScale="119" zoomScaleNormal="90" workbookViewId="0">
      <selection activeCell="E28" sqref="E28"/>
    </sheetView>
  </sheetViews>
  <sheetFormatPr baseColWidth="10" defaultColWidth="11.6640625" defaultRowHeight="16"/>
  <cols>
    <col min="1" max="13" width="11.6640625" style="306"/>
    <col min="14" max="14" width="12" style="306" customWidth="1"/>
    <col min="15" max="20" width="11.6640625" style="306"/>
    <col min="21" max="21" width="11.5" style="306" customWidth="1"/>
    <col min="22" max="25" width="11.6640625" style="306"/>
    <col min="26" max="26" width="13.6640625" style="306" customWidth="1"/>
    <col min="27" max="27" width="11.6640625" style="306"/>
    <col min="28" max="28" width="14" style="306" customWidth="1"/>
    <col min="29" max="31" width="11.6640625" style="306"/>
    <col min="32" max="32" width="14.1640625" style="306" customWidth="1"/>
    <col min="33" max="34" width="11.6640625" style="306"/>
    <col min="36" max="36" width="23.5" style="306" customWidth="1"/>
    <col min="37" max="69" width="11.6640625" style="306"/>
    <col min="70" max="70" width="47.1640625" style="306" customWidth="1"/>
    <col min="71" max="16384" width="11.6640625" style="306"/>
  </cols>
  <sheetData>
    <row r="1" spans="1:70" ht="19">
      <c r="A1" s="445" t="s">
        <v>495</v>
      </c>
      <c r="B1" s="445" t="s">
        <v>494</v>
      </c>
      <c r="C1" s="306" t="s">
        <v>493</v>
      </c>
      <c r="D1" s="306" t="s">
        <v>492</v>
      </c>
      <c r="E1" s="1442" t="s">
        <v>1421</v>
      </c>
      <c r="F1" s="306" t="s">
        <v>491</v>
      </c>
      <c r="G1" s="306" t="s">
        <v>490</v>
      </c>
      <c r="H1" s="1442" t="s">
        <v>1422</v>
      </c>
      <c r="I1" s="306" t="s">
        <v>489</v>
      </c>
      <c r="J1" s="306" t="s">
        <v>488</v>
      </c>
      <c r="K1" s="1445" t="s">
        <v>1423</v>
      </c>
      <c r="L1" s="874" t="s">
        <v>1393</v>
      </c>
      <c r="M1" s="875" t="s">
        <v>1392</v>
      </c>
      <c r="N1" s="866" t="s">
        <v>1353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52" t="s">
        <v>935</v>
      </c>
      <c r="X1" s="306" t="s">
        <v>481</v>
      </c>
      <c r="Y1" s="306" t="s">
        <v>480</v>
      </c>
      <c r="Z1" s="1375" t="s">
        <v>1409</v>
      </c>
      <c r="AA1" s="874" t="s">
        <v>1394</v>
      </c>
      <c r="AB1" s="843" t="s">
        <v>478</v>
      </c>
      <c r="AC1" s="865" t="s">
        <v>1353</v>
      </c>
      <c r="AD1" s="1485" t="s">
        <v>1428</v>
      </c>
      <c r="AE1" s="1483" t="s">
        <v>1425</v>
      </c>
      <c r="AF1" s="1485" t="s">
        <v>1426</v>
      </c>
      <c r="AG1" s="866" t="s">
        <v>1353</v>
      </c>
      <c r="AJ1" s="1063" t="s">
        <v>271</v>
      </c>
      <c r="AK1" s="381" t="s">
        <v>0</v>
      </c>
      <c r="AL1" s="307"/>
      <c r="AM1" s="307"/>
      <c r="AN1" s="373"/>
      <c r="AO1" s="373"/>
      <c r="AP1" s="307"/>
      <c r="AQ1" s="307"/>
      <c r="AR1" s="307"/>
      <c r="AS1" s="307"/>
      <c r="AT1" s="307"/>
      <c r="AU1" s="307"/>
      <c r="AV1" s="307"/>
      <c r="AW1" s="373"/>
      <c r="AX1" s="373"/>
      <c r="AY1" s="373"/>
      <c r="AZ1" s="373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</row>
    <row r="2" spans="1:70" ht="18" thickBot="1">
      <c r="L2" s="846"/>
      <c r="N2" s="847"/>
      <c r="W2" s="853"/>
      <c r="AA2" s="846"/>
      <c r="AE2" s="846"/>
      <c r="AG2" s="847"/>
      <c r="AJ2" s="380"/>
      <c r="AK2" s="307" t="s">
        <v>378</v>
      </c>
      <c r="AL2" s="307"/>
      <c r="AM2" s="307"/>
      <c r="AN2" s="307"/>
      <c r="AO2" s="373"/>
      <c r="AP2" s="307"/>
      <c r="AQ2" s="307"/>
      <c r="AR2" s="307"/>
      <c r="AS2" s="307"/>
      <c r="AT2" s="379"/>
      <c r="AU2" s="378">
        <v>43697.666631944441</v>
      </c>
      <c r="AV2" s="307"/>
      <c r="AW2" s="379"/>
      <c r="AX2" s="378"/>
      <c r="AY2" s="373"/>
      <c r="AZ2" s="373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</row>
    <row r="3" spans="1:70" ht="17">
      <c r="A3" s="435" t="s">
        <v>391</v>
      </c>
      <c r="B3" s="1484" t="s">
        <v>3</v>
      </c>
      <c r="C3" s="406" t="e">
        <f>AVERAGE($AK$58,$AK$59,$AK$60)</f>
        <v>#DIV/0!</v>
      </c>
      <c r="D3" s="406" t="e">
        <f>STDEV($AK$58,$AK$59,$AK$60)</f>
        <v>#DIV/0!</v>
      </c>
      <c r="E3" s="406" t="e" cm="1">
        <f t="array" ref="E3:E29">2*D3:D29</f>
        <v>#DIV/0!</v>
      </c>
      <c r="F3" s="433">
        <f>AVERAGE($AK$54,$AK$55,$AK$56,$AK$57)</f>
        <v>1.78578366869634</v>
      </c>
      <c r="G3" s="433">
        <f>STDEV($AK$54,$AK$55,$AK$56,$AK$57)</f>
        <v>1.1564577882446541</v>
      </c>
      <c r="H3" s="433" cm="1">
        <f t="array" ref="H3:H29">2*G3:G29</f>
        <v>2.3129155764893081</v>
      </c>
      <c r="I3" s="433">
        <f>AVERAGE($AK$50:$AK$53)</f>
        <v>0.79457273711726562</v>
      </c>
      <c r="J3" s="433">
        <f>STDEV($AK$50:$AK$53)</f>
        <v>0.12188032884883655</v>
      </c>
      <c r="K3" s="433" cm="1">
        <f t="array" ref="K3:K29">2*J3:J29</f>
        <v>0.24376065769767311</v>
      </c>
      <c r="L3" s="848" t="e" cm="1">
        <f t="array" ref="L3:L29">C3:C29/I3:I29</f>
        <v>#DIV/0!</v>
      </c>
      <c r="M3" s="406" t="e" cm="1">
        <f t="array" ref="M3:M29">L3:L29*SQRT((D3:D29/C3:C29)^2 + (J3:J29/I3:I29)^2)</f>
        <v>#DIV/0!</v>
      </c>
      <c r="N3" s="849" t="e" cm="1">
        <f t="array" ref="N3:N29">2*(M3:M29)</f>
        <v>#DIV/0!</v>
      </c>
      <c r="O3" s="433">
        <v>0.56999999999999995</v>
      </c>
      <c r="P3" s="433">
        <v>3</v>
      </c>
      <c r="Q3" s="778">
        <v>0.43097660813587801</v>
      </c>
      <c r="R3" s="570">
        <f t="shared" ref="R3:R29" si="0">(1-(2*Q3))/(1-Q3)</f>
        <v>0.24260300314896086</v>
      </c>
      <c r="S3" s="570">
        <f>O3*(((1-(2*C47))/(1-C47))^P3)</f>
        <v>3.5287756911058206E-3</v>
      </c>
      <c r="T3" s="570">
        <f>O3*(((1-(2*C46))/(1-C46))^P3)</f>
        <v>1.4963718439605287E-2</v>
      </c>
      <c r="U3" s="570" cm="1">
        <f t="array" ref="U3:U29">W3:W29-S3:S29</f>
        <v>4.6100804767910354E-3</v>
      </c>
      <c r="V3" s="570" cm="1">
        <f t="array" ref="V3:V29">T3:T29-W3:W29</f>
        <v>6.824862271708431E-3</v>
      </c>
      <c r="W3" s="854">
        <f>O3*((R3)^P3)</f>
        <v>8.138856167896856E-3</v>
      </c>
      <c r="X3" s="433" t="e">
        <f t="shared" ref="X3:X29" si="1">L3/W3</f>
        <v>#DIV/0!</v>
      </c>
      <c r="Y3" s="433" t="e">
        <f t="shared" ref="Y3:Y29" si="2">X3*(M3/L3)</f>
        <v>#DIV/0!</v>
      </c>
      <c r="Z3" s="433"/>
      <c r="AA3" s="857" t="e" cm="1">
        <f t="array" ref="AA3:AA29">C3:C29/F3:F29</f>
        <v>#DIV/0!</v>
      </c>
      <c r="AB3" s="406" t="e" cm="1">
        <f t="array" ref="AB3:AB29">AA3:AA29*SQRT((D3:D29/C3:C29)^2 + (G3:G29/F3:F29)^2)</f>
        <v>#DIV/0!</v>
      </c>
      <c r="AC3" s="813" t="e" cm="1">
        <f t="array" ref="AC3:AC29">2*AB3:AB29</f>
        <v>#DIV/0!</v>
      </c>
      <c r="AD3" s="433"/>
      <c r="AE3" s="868" cm="1">
        <f t="array" ref="AE3:AE29">F3:F29/I3:I29</f>
        <v>2.2474766440832319</v>
      </c>
      <c r="AF3" s="571" cm="1">
        <f t="array" ref="AF3:AF29">AE3:AE29*SQRT((J3:J29/I3:I29)^2 + (G3:G29/F3:F29)^2)</f>
        <v>1.4957175214052063</v>
      </c>
      <c r="AG3" s="862" cm="1">
        <f t="array" ref="AG3:AG29">2*AF3:AF29</f>
        <v>2.9914350428104126</v>
      </c>
      <c r="AH3" s="1484" t="s">
        <v>3</v>
      </c>
      <c r="AJ3" s="309" t="s">
        <v>2</v>
      </c>
      <c r="AK3" s="375" t="s">
        <v>3</v>
      </c>
      <c r="AL3" s="375" t="s">
        <v>4</v>
      </c>
      <c r="AM3" s="375" t="s">
        <v>5</v>
      </c>
      <c r="AN3" s="377" t="s">
        <v>6</v>
      </c>
      <c r="AO3" s="375" t="s">
        <v>7</v>
      </c>
      <c r="AP3" s="375" t="s">
        <v>8</v>
      </c>
      <c r="AQ3" s="375" t="s">
        <v>8</v>
      </c>
      <c r="AR3" s="375" t="s">
        <v>9</v>
      </c>
      <c r="AS3" s="375" t="s">
        <v>10</v>
      </c>
      <c r="AT3" s="375" t="s">
        <v>10</v>
      </c>
      <c r="AU3" s="375" t="s">
        <v>11</v>
      </c>
      <c r="AV3" s="375" t="s">
        <v>12</v>
      </c>
      <c r="AW3" s="375" t="s">
        <v>12</v>
      </c>
      <c r="AX3" s="375" t="s">
        <v>13</v>
      </c>
      <c r="AY3" s="375" t="s">
        <v>14</v>
      </c>
      <c r="AZ3" s="375" t="s">
        <v>15</v>
      </c>
      <c r="BA3" s="375" t="s">
        <v>16</v>
      </c>
      <c r="BB3" s="375" t="s">
        <v>17</v>
      </c>
      <c r="BC3" s="375" t="s">
        <v>18</v>
      </c>
      <c r="BD3" s="375" t="s">
        <v>19</v>
      </c>
      <c r="BE3" s="375" t="s">
        <v>20</v>
      </c>
      <c r="BF3" s="375" t="s">
        <v>21</v>
      </c>
      <c r="BG3" s="375" t="s">
        <v>22</v>
      </c>
      <c r="BH3" s="375" t="s">
        <v>23</v>
      </c>
      <c r="BI3" s="375" t="s">
        <v>24</v>
      </c>
      <c r="BJ3" s="375" t="s">
        <v>25</v>
      </c>
      <c r="BK3" s="375" t="s">
        <v>26</v>
      </c>
      <c r="BL3" s="375" t="s">
        <v>27</v>
      </c>
      <c r="BM3" s="375" t="s">
        <v>28</v>
      </c>
      <c r="BN3" s="307"/>
      <c r="BO3" s="375" t="s">
        <v>29</v>
      </c>
      <c r="BP3" s="375" t="s">
        <v>30</v>
      </c>
      <c r="BQ3" s="375"/>
      <c r="BR3" s="375" t="s">
        <v>31</v>
      </c>
    </row>
    <row r="4" spans="1:70" ht="17">
      <c r="A4" s="407" t="s">
        <v>476</v>
      </c>
      <c r="B4" s="407" t="s">
        <v>4</v>
      </c>
      <c r="C4" s="406" t="e">
        <f>AVERAGE($AL$23,$AL$24,$AL$25)</f>
        <v>#DIV/0!</v>
      </c>
      <c r="D4" s="406" t="e">
        <f>STDEV($AL$23,$AL$24,$AL$25)</f>
        <v>#DIV/0!</v>
      </c>
      <c r="E4" s="406" t="e">
        <v>#DIV/0!</v>
      </c>
      <c r="F4" s="406">
        <f>AVERAGE($AL$19,$AL$20,$AL$21,$AL$22)</f>
        <v>12.217034378308938</v>
      </c>
      <c r="G4" s="406">
        <f>STDEV($AL$19,$AL$20,$AL$21,$AL$22)</f>
        <v>15.972352810806148</v>
      </c>
      <c r="H4" s="406">
        <v>31.944705621612297</v>
      </c>
      <c r="I4" s="406">
        <f>AVERAGE($AL$15:$AL$18)</f>
        <v>0.85976869920723742</v>
      </c>
      <c r="J4" s="406" t="e">
        <f>STDEV($AL$15:$AL$18)</f>
        <v>#DIV/0!</v>
      </c>
      <c r="K4" s="406" t="e">
        <v>#DIV/0!</v>
      </c>
      <c r="L4" s="848" t="e">
        <v>#DIV/0!</v>
      </c>
      <c r="M4" s="406" t="e">
        <v>#DIV/0!</v>
      </c>
      <c r="N4" s="849" t="e">
        <v>#DIV/0!</v>
      </c>
      <c r="O4" s="404">
        <v>0.81</v>
      </c>
      <c r="P4" s="404">
        <v>1.66</v>
      </c>
      <c r="Q4" s="779">
        <v>0.43097660813587801</v>
      </c>
      <c r="R4" s="790">
        <f t="shared" si="0"/>
        <v>0.24260300314896086</v>
      </c>
      <c r="S4" s="790">
        <f>O4*(((1-(2*C47))/(1-C47))^P4)</f>
        <v>4.8594401924528054E-2</v>
      </c>
      <c r="T4" s="790">
        <f>O4*(((1-(2*C46))/(1-C46))^P4)</f>
        <v>0.1080826881209455</v>
      </c>
      <c r="U4" s="790">
        <v>2.8569230835445249E-2</v>
      </c>
      <c r="V4" s="790">
        <v>3.0919055360972197E-2</v>
      </c>
      <c r="W4" s="855">
        <f t="shared" ref="W4:W29" si="3">O4*((R4)^P4)</f>
        <v>7.7163632759973302E-2</v>
      </c>
      <c r="X4" s="404" t="e">
        <f t="shared" si="1"/>
        <v>#DIV/0!</v>
      </c>
      <c r="Y4" s="404" t="e">
        <f t="shared" si="2"/>
        <v>#DIV/0!</v>
      </c>
      <c r="Z4" s="860">
        <f>AL43/F4</f>
        <v>2.8956889594842283E-2</v>
      </c>
      <c r="AA4" s="857" t="e">
        <v>#DIV/0!</v>
      </c>
      <c r="AB4" s="406" t="e">
        <v>#DIV/0!</v>
      </c>
      <c r="AC4" s="813" t="e">
        <v>#DIV/0!</v>
      </c>
      <c r="AD4" s="404"/>
      <c r="AE4" s="867">
        <v>14.209675683208562</v>
      </c>
      <c r="AF4" s="813" t="e">
        <v>#DIV/0!</v>
      </c>
      <c r="AG4" s="858" t="e">
        <v>#DIV/0!</v>
      </c>
      <c r="AH4" s="407" t="s">
        <v>4</v>
      </c>
      <c r="AJ4" s="309" t="s">
        <v>32</v>
      </c>
      <c r="AK4" s="307">
        <v>51</v>
      </c>
      <c r="AL4" s="307">
        <v>53</v>
      </c>
      <c r="AM4" s="307">
        <v>55</v>
      </c>
      <c r="AN4" s="370">
        <v>57</v>
      </c>
      <c r="AO4" s="307">
        <v>59</v>
      </c>
      <c r="AP4" s="307">
        <v>61</v>
      </c>
      <c r="AQ4" s="307">
        <v>62</v>
      </c>
      <c r="AR4" s="307">
        <v>63</v>
      </c>
      <c r="AS4" s="307">
        <v>66</v>
      </c>
      <c r="AT4" s="307">
        <v>67</v>
      </c>
      <c r="AU4" s="307">
        <v>69</v>
      </c>
      <c r="AV4" s="307">
        <v>72</v>
      </c>
      <c r="AW4" s="307">
        <v>73</v>
      </c>
      <c r="AX4" s="307">
        <v>75</v>
      </c>
      <c r="AY4" s="307">
        <v>95</v>
      </c>
      <c r="AZ4" s="307">
        <v>101</v>
      </c>
      <c r="BA4" s="307">
        <v>103</v>
      </c>
      <c r="BB4" s="307">
        <v>105</v>
      </c>
      <c r="BC4" s="307">
        <v>107</v>
      </c>
      <c r="BD4" s="307">
        <v>118</v>
      </c>
      <c r="BE4" s="307">
        <v>121</v>
      </c>
      <c r="BF4" s="307">
        <v>184</v>
      </c>
      <c r="BG4" s="307">
        <v>185</v>
      </c>
      <c r="BH4" s="307">
        <v>189</v>
      </c>
      <c r="BI4" s="307">
        <v>193</v>
      </c>
      <c r="BJ4" s="307">
        <v>195</v>
      </c>
      <c r="BK4" s="307">
        <v>197</v>
      </c>
      <c r="BL4" s="307">
        <v>208</v>
      </c>
      <c r="BM4" s="307">
        <v>209</v>
      </c>
      <c r="BN4" s="307"/>
      <c r="BO4" s="375" t="s">
        <v>33</v>
      </c>
      <c r="BP4" s="375" t="s">
        <v>34</v>
      </c>
      <c r="BQ4" s="307"/>
      <c r="BR4" s="307"/>
    </row>
    <row r="5" spans="1:70" ht="17">
      <c r="A5" s="407" t="s">
        <v>476</v>
      </c>
      <c r="B5" s="407" t="s">
        <v>5</v>
      </c>
      <c r="C5" s="406">
        <f>AVERAGE($AM$23,$AM$24,$AM$25)</f>
        <v>-37.594231444621606</v>
      </c>
      <c r="D5" s="406">
        <f>STDEV($AM$23,$AM$24,$AM$25)</f>
        <v>29.650589377057536</v>
      </c>
      <c r="E5" s="406">
        <v>59.301178754115071</v>
      </c>
      <c r="F5" s="406" t="e">
        <f>AVERAGE($AM$19,$AM$20,$AM$21,$AM$22)</f>
        <v>#DIV/0!</v>
      </c>
      <c r="G5" s="406" t="e">
        <f>STDEV($AM$19,$AM$20,$AM$21,$AM$22)</f>
        <v>#DIV/0!</v>
      </c>
      <c r="H5" s="406" t="e">
        <v>#DIV/0!</v>
      </c>
      <c r="I5" s="406" t="e">
        <f>AVERAGE($AM$15:$AM$18)</f>
        <v>#DIV/0!</v>
      </c>
      <c r="J5" s="406" t="e">
        <f>STDEV($AM$15:$AM$18)</f>
        <v>#DIV/0!</v>
      </c>
      <c r="K5" s="406" t="e">
        <v>#DIV/0!</v>
      </c>
      <c r="L5" s="848" t="e">
        <v>#DIV/0!</v>
      </c>
      <c r="M5" s="406" t="e">
        <v>#DIV/0!</v>
      </c>
      <c r="N5" s="849" t="e">
        <v>#DIV/0!</v>
      </c>
      <c r="O5" s="404"/>
      <c r="P5" s="404"/>
      <c r="Q5" s="779">
        <v>0.43097660813587801</v>
      </c>
      <c r="R5" s="790">
        <f t="shared" si="0"/>
        <v>0.24260300314896086</v>
      </c>
      <c r="S5" s="790"/>
      <c r="T5" s="790"/>
      <c r="U5" s="790">
        <v>0</v>
      </c>
      <c r="V5" s="790">
        <v>0</v>
      </c>
      <c r="W5" s="855">
        <f>O5*((R5)^P5)</f>
        <v>0</v>
      </c>
      <c r="X5" s="404" t="e">
        <f t="shared" si="1"/>
        <v>#DIV/0!</v>
      </c>
      <c r="Y5" s="404" t="e">
        <f t="shared" si="2"/>
        <v>#DIV/0!</v>
      </c>
      <c r="Z5" s="404"/>
      <c r="AA5" s="857" t="e">
        <v>#DIV/0!</v>
      </c>
      <c r="AB5" s="406" t="e">
        <v>#DIV/0!</v>
      </c>
      <c r="AC5" s="813" t="e">
        <v>#DIV/0!</v>
      </c>
      <c r="AD5" s="404"/>
      <c r="AE5" s="867" t="e">
        <v>#DIV/0!</v>
      </c>
      <c r="AF5" s="813" t="e">
        <v>#DIV/0!</v>
      </c>
      <c r="AG5" s="858" t="e">
        <v>#DIV/0!</v>
      </c>
      <c r="AH5" s="407" t="s">
        <v>5</v>
      </c>
      <c r="AJ5" s="309"/>
      <c r="AK5" s="375" t="s">
        <v>35</v>
      </c>
      <c r="AL5" s="375" t="s">
        <v>35</v>
      </c>
      <c r="AM5" s="375" t="s">
        <v>35</v>
      </c>
      <c r="AN5" s="376" t="s">
        <v>35</v>
      </c>
      <c r="AO5" s="375" t="s">
        <v>35</v>
      </c>
      <c r="AP5" s="375" t="s">
        <v>35</v>
      </c>
      <c r="AQ5" s="375" t="s">
        <v>35</v>
      </c>
      <c r="AR5" s="375" t="s">
        <v>35</v>
      </c>
      <c r="AS5" s="375" t="s">
        <v>35</v>
      </c>
      <c r="AT5" s="375" t="s">
        <v>35</v>
      </c>
      <c r="AU5" s="375" t="s">
        <v>35</v>
      </c>
      <c r="AV5" s="375" t="s">
        <v>35</v>
      </c>
      <c r="AW5" s="375" t="s">
        <v>35</v>
      </c>
      <c r="AX5" s="375" t="s">
        <v>35</v>
      </c>
      <c r="AY5" s="375" t="s">
        <v>35</v>
      </c>
      <c r="AZ5" s="375" t="s">
        <v>35</v>
      </c>
      <c r="BA5" s="375" t="s">
        <v>35</v>
      </c>
      <c r="BB5" s="375" t="s">
        <v>35</v>
      </c>
      <c r="BC5" s="375" t="s">
        <v>35</v>
      </c>
      <c r="BD5" s="375" t="s">
        <v>35</v>
      </c>
      <c r="BE5" s="375" t="s">
        <v>35</v>
      </c>
      <c r="BF5" s="375" t="s">
        <v>35</v>
      </c>
      <c r="BG5" s="375" t="s">
        <v>35</v>
      </c>
      <c r="BH5" s="375" t="s">
        <v>35</v>
      </c>
      <c r="BI5" s="375" t="s">
        <v>35</v>
      </c>
      <c r="BJ5" s="375" t="s">
        <v>35</v>
      </c>
      <c r="BK5" s="375" t="s">
        <v>35</v>
      </c>
      <c r="BL5" s="375" t="s">
        <v>35</v>
      </c>
      <c r="BM5" s="375" t="s">
        <v>35</v>
      </c>
      <c r="BN5" s="307"/>
      <c r="BO5" s="307"/>
      <c r="BP5" s="307"/>
      <c r="BQ5" s="307"/>
      <c r="BR5" s="307"/>
    </row>
    <row r="6" spans="1:70" ht="17">
      <c r="A6" s="407" t="s">
        <v>476</v>
      </c>
      <c r="B6" s="407" t="s">
        <v>6</v>
      </c>
      <c r="C6" s="404">
        <f>AVERAGE($AN$23,$AN$24,$AN$25)</f>
        <v>571100</v>
      </c>
      <c r="D6" s="404">
        <f>STDEV($AN$23,$AN$24,$AN$25)</f>
        <v>0</v>
      </c>
      <c r="E6" s="404">
        <v>0</v>
      </c>
      <c r="F6" s="404">
        <f>AVERAGE($AN$19,$AN$20,$AN$21,$AN$22)</f>
        <v>621500</v>
      </c>
      <c r="G6" s="404">
        <f>STDEV($AN$19,$AN$20,$AN$21,$AN$22)</f>
        <v>0</v>
      </c>
      <c r="H6" s="404">
        <v>0</v>
      </c>
      <c r="I6" s="404">
        <f>AVERAGE($AN$15:$AN$18)</f>
        <v>507500</v>
      </c>
      <c r="J6" s="404">
        <f>STDEV($AN$15:$AN$18)</f>
        <v>0</v>
      </c>
      <c r="K6" s="404">
        <v>0</v>
      </c>
      <c r="L6" s="850">
        <v>1.1253201970443349</v>
      </c>
      <c r="M6" s="790">
        <v>0</v>
      </c>
      <c r="N6" s="1479">
        <v>0</v>
      </c>
      <c r="O6" s="404"/>
      <c r="P6" s="404"/>
      <c r="Q6" s="779">
        <v>0.43097660813587801</v>
      </c>
      <c r="R6" s="790">
        <f t="shared" si="0"/>
        <v>0.24260300314896086</v>
      </c>
      <c r="S6" s="790"/>
      <c r="T6" s="790"/>
      <c r="U6" s="790">
        <v>0</v>
      </c>
      <c r="V6" s="790">
        <v>0</v>
      </c>
      <c r="W6" s="855">
        <f t="shared" si="3"/>
        <v>0</v>
      </c>
      <c r="X6" s="404" t="e">
        <f t="shared" si="1"/>
        <v>#DIV/0!</v>
      </c>
      <c r="Y6" s="404" t="e">
        <f t="shared" si="2"/>
        <v>#DIV/0!</v>
      </c>
      <c r="Z6" s="404"/>
      <c r="AA6" s="857">
        <v>0.91890587288817382</v>
      </c>
      <c r="AB6" s="571">
        <v>0</v>
      </c>
      <c r="AC6" s="571">
        <v>0</v>
      </c>
      <c r="AD6" s="404"/>
      <c r="AE6" s="868">
        <v>1.2246305418719212</v>
      </c>
      <c r="AF6" s="571">
        <v>0</v>
      </c>
      <c r="AG6" s="862">
        <v>0</v>
      </c>
      <c r="AH6" s="407" t="s">
        <v>6</v>
      </c>
      <c r="AJ6" s="309"/>
      <c r="AK6" s="373"/>
      <c r="AL6" s="373"/>
      <c r="AM6" s="373"/>
      <c r="AN6" s="374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</row>
    <row r="7" spans="1:70" ht="17">
      <c r="A7" s="444" t="s">
        <v>476</v>
      </c>
      <c r="B7" s="444" t="s">
        <v>7</v>
      </c>
      <c r="C7" s="1447">
        <f>AVERAGE($AO$23,$AO$24,$AO$25)</f>
        <v>1265.4316765721014</v>
      </c>
      <c r="D7" s="404">
        <f>STDEV($AO$23,$AO$24,$AO$25)</f>
        <v>20.646913084997369</v>
      </c>
      <c r="E7" s="1447">
        <v>41.293826169994738</v>
      </c>
      <c r="F7" s="1447">
        <f>AVERAGE($AO$19,$AO$20,$AO$21,$AO$22)</f>
        <v>149.70599650445101</v>
      </c>
      <c r="G7" s="404">
        <f>STDEV($AO$19,$AO$20,$AO$21,$AO$22)</f>
        <v>6.4335138084492565</v>
      </c>
      <c r="H7" s="1447">
        <v>12.867027616898513</v>
      </c>
      <c r="I7" s="1447">
        <f>AVERAGE($AO$15:$AO$18)</f>
        <v>319.8421351893046</v>
      </c>
      <c r="J7" s="404">
        <f>STDEV($AO$15:$AO$18)</f>
        <v>14.102100489212196</v>
      </c>
      <c r="K7" s="1447">
        <v>28.204200978424392</v>
      </c>
      <c r="L7" s="1322">
        <v>3.9564258030704171</v>
      </c>
      <c r="M7" s="790">
        <v>0.1860031527510983</v>
      </c>
      <c r="N7" s="876">
        <v>0.3720063055021966</v>
      </c>
      <c r="O7" s="443">
        <v>0.95</v>
      </c>
      <c r="P7" s="443">
        <v>-1.26</v>
      </c>
      <c r="Q7" s="779">
        <v>0.43097660813587801</v>
      </c>
      <c r="R7" s="790">
        <f t="shared" si="0"/>
        <v>0.24260300314896086</v>
      </c>
      <c r="S7" s="790" cm="1">
        <f t="array" ref="S7:S9">O7:O9*(((1-(2*C46))/(1-C46))^P7:P9)</f>
        <v>4.3820208837629515</v>
      </c>
      <c r="T7" s="790" cm="1">
        <f t="array" ref="T7:T9">O7:O9*(((1-(2*C47))/(1-C47))^P7:P9)</f>
        <v>8.0387577706114914</v>
      </c>
      <c r="U7" s="790">
        <v>1.2771711061905089</v>
      </c>
      <c r="V7" s="790">
        <v>2.379565780658031</v>
      </c>
      <c r="W7" s="856">
        <f>O7*((R7)^P7)</f>
        <v>5.6591919899534604</v>
      </c>
      <c r="X7" s="404">
        <f t="shared" si="1"/>
        <v>0.69911496377823956</v>
      </c>
      <c r="Y7" s="404">
        <f t="shared" si="2"/>
        <v>3.2867439924516136E-2</v>
      </c>
      <c r="Z7" s="404"/>
      <c r="AA7" s="859">
        <v>8.4527788206164338</v>
      </c>
      <c r="AB7" s="404">
        <v>0.38855279437031454</v>
      </c>
      <c r="AC7" s="732">
        <v>0.77710558874062907</v>
      </c>
      <c r="AD7" s="404"/>
      <c r="AE7" s="869">
        <v>0.46806214702088794</v>
      </c>
      <c r="AF7" s="749">
        <v>2.8818310824883519E-2</v>
      </c>
      <c r="AG7" s="861">
        <v>5.7636621649767038E-2</v>
      </c>
      <c r="AH7" s="444" t="s">
        <v>7</v>
      </c>
      <c r="AJ7" s="309" t="s">
        <v>36</v>
      </c>
      <c r="AK7" s="310">
        <v>54.3</v>
      </c>
      <c r="AL7" s="310">
        <v>2646</v>
      </c>
      <c r="AM7" s="311">
        <v>1933</v>
      </c>
      <c r="AN7" s="372">
        <v>184300</v>
      </c>
      <c r="AO7" s="311">
        <v>506</v>
      </c>
      <c r="AP7" s="311">
        <v>10770</v>
      </c>
      <c r="AQ7" s="311">
        <v>10770</v>
      </c>
      <c r="AR7" s="311">
        <v>131</v>
      </c>
      <c r="AS7" s="311">
        <v>323</v>
      </c>
      <c r="AT7" s="311">
        <v>323</v>
      </c>
      <c r="AU7" s="310">
        <v>9.7100000000000009</v>
      </c>
      <c r="AV7" s="310">
        <v>32.6</v>
      </c>
      <c r="AW7" s="310">
        <v>32.6</v>
      </c>
      <c r="AX7" s="310">
        <v>1.81</v>
      </c>
      <c r="AY7" s="310">
        <v>0.92800000000000005</v>
      </c>
      <c r="AZ7" s="310">
        <v>0.68300000000000005</v>
      </c>
      <c r="BA7" s="310">
        <v>0.14000000000000001</v>
      </c>
      <c r="BB7" s="310">
        <v>0.55600000000000005</v>
      </c>
      <c r="BC7" s="310">
        <v>0.19700000000000001</v>
      </c>
      <c r="BD7" s="310">
        <v>1.68</v>
      </c>
      <c r="BE7" s="310">
        <v>0.13300000000000001</v>
      </c>
      <c r="BF7" s="310">
        <v>9.0300000000000005E-2</v>
      </c>
      <c r="BG7" s="310">
        <v>3.95E-2</v>
      </c>
      <c r="BH7" s="310">
        <v>0.50600000000000001</v>
      </c>
      <c r="BI7" s="310">
        <v>0.48</v>
      </c>
      <c r="BJ7" s="310">
        <v>0.98199999999999998</v>
      </c>
      <c r="BK7" s="310">
        <v>0.14799999999999999</v>
      </c>
      <c r="BL7" s="310">
        <v>2.5299999999999998</v>
      </c>
      <c r="BM7" s="310">
        <v>0.111</v>
      </c>
      <c r="BN7" s="307"/>
      <c r="BO7" s="307"/>
      <c r="BP7" s="307"/>
      <c r="BQ7" s="307"/>
      <c r="BR7" s="307"/>
    </row>
    <row r="8" spans="1:70" ht="17">
      <c r="A8" s="444" t="s">
        <v>476</v>
      </c>
      <c r="B8" s="444" t="s">
        <v>477</v>
      </c>
      <c r="C8" s="404">
        <f>AVERAGE($AP$23,$AP$24,$AP$25)</f>
        <v>396690.56704093266</v>
      </c>
      <c r="D8" s="404">
        <f>STDEV($AP$23,$AP$24,$AP$25)</f>
        <v>34504.887643516478</v>
      </c>
      <c r="E8" s="404">
        <v>69009.775287032957</v>
      </c>
      <c r="F8" s="404">
        <f>AVERAGE($AP$19,$AP$20,$AP$21,$AP$22)</f>
        <v>18271.20545276803</v>
      </c>
      <c r="G8" s="404">
        <f>STDEV($AP$19,$AP$20,$AP$21,$AP$22)</f>
        <v>1134.7137621936818</v>
      </c>
      <c r="H8" s="404">
        <v>2269.4275243873635</v>
      </c>
      <c r="I8" s="406">
        <f>AVERAGE($AP$15:$AP$18)</f>
        <v>8689.2484268267199</v>
      </c>
      <c r="J8" s="406">
        <f>STDEV($AP$15:$AP$18)</f>
        <v>6878.9202370140629</v>
      </c>
      <c r="K8" s="406">
        <v>13757.840474028126</v>
      </c>
      <c r="L8" s="1323">
        <v>45.653035516421816</v>
      </c>
      <c r="M8" s="571">
        <v>36.359126155519384</v>
      </c>
      <c r="N8" s="862">
        <v>72.718252311038768</v>
      </c>
      <c r="O8" s="443">
        <v>0.874</v>
      </c>
      <c r="P8" s="443">
        <v>-0.52</v>
      </c>
      <c r="Q8" s="779">
        <v>0.43097660813587801</v>
      </c>
      <c r="R8" s="790">
        <f t="shared" si="0"/>
        <v>0.24260300314896086</v>
      </c>
      <c r="S8" s="790">
        <v>1.6425662287326925</v>
      </c>
      <c r="T8" s="790">
        <v>2.1099633179901849</v>
      </c>
      <c r="U8" s="790">
        <v>0.18286477669896373</v>
      </c>
      <c r="V8" s="790">
        <v>0.28453231255852862</v>
      </c>
      <c r="W8" s="856">
        <f>O8*((R8)^P8)</f>
        <v>1.8254310054316563</v>
      </c>
      <c r="X8" s="404">
        <f t="shared" si="1"/>
        <v>25.009455509728415</v>
      </c>
      <c r="Y8" s="404">
        <f t="shared" si="2"/>
        <v>19.918104846105432</v>
      </c>
      <c r="Z8" s="404"/>
      <c r="AA8" s="859">
        <v>21.711242209300167</v>
      </c>
      <c r="AB8" s="404">
        <v>2.3204376647085798</v>
      </c>
      <c r="AC8" s="749">
        <v>4.6408753294171596</v>
      </c>
      <c r="AD8" s="404"/>
      <c r="AE8" s="870">
        <v>2.1027371477098629</v>
      </c>
      <c r="AF8" s="871">
        <v>1.6697647562415863</v>
      </c>
      <c r="AG8" s="872">
        <v>3.3395295124831725</v>
      </c>
      <c r="AH8" s="444" t="s">
        <v>477</v>
      </c>
      <c r="AJ8" s="309" t="s">
        <v>37</v>
      </c>
      <c r="AK8" s="310">
        <v>1.6035494179199167E-2</v>
      </c>
      <c r="AL8" s="310">
        <v>0.35376731566908454</v>
      </c>
      <c r="AM8" s="310">
        <v>-2.2643202218976297</v>
      </c>
      <c r="AN8" s="371">
        <v>9.1931815848762461</v>
      </c>
      <c r="AO8" s="310">
        <v>0.16717011849640606</v>
      </c>
      <c r="AP8" s="310">
        <v>5.5891106055894255</v>
      </c>
      <c r="AQ8" s="793">
        <v>4.4536150270919581</v>
      </c>
      <c r="AR8" s="310">
        <v>5.7638818046808191E-2</v>
      </c>
      <c r="AS8" s="792">
        <v>5.6251831728814414E-2</v>
      </c>
      <c r="AT8" s="310">
        <v>-0.40259630856870332</v>
      </c>
      <c r="AU8" s="310">
        <v>2.2137467122503276E-2</v>
      </c>
      <c r="AV8" s="792">
        <v>1.2228869372507471E-3</v>
      </c>
      <c r="AW8" s="310">
        <v>1.1111819411753892E-2</v>
      </c>
      <c r="AX8" s="310">
        <v>7.5733964963970404E-2</v>
      </c>
      <c r="AY8" s="310">
        <v>5.2917538761125149E-2</v>
      </c>
      <c r="AZ8" s="310">
        <v>6.1720175628369865E-2</v>
      </c>
      <c r="BA8" s="310">
        <v>2.0100963583778025E-2</v>
      </c>
      <c r="BB8" s="310">
        <v>3.2283988425214814E-2</v>
      </c>
      <c r="BC8" s="310">
        <v>-0.1026305740995804</v>
      </c>
      <c r="BD8" s="310">
        <v>0.17716658536100743</v>
      </c>
      <c r="BE8" s="310">
        <v>0.23226140942161197</v>
      </c>
      <c r="BF8" s="310">
        <v>6.6995952059119854E-3</v>
      </c>
      <c r="BG8" s="310">
        <v>8.3702748080895732E-3</v>
      </c>
      <c r="BH8" s="1376">
        <v>1.468899125380097E-2</v>
      </c>
      <c r="BI8" s="1377" t="s">
        <v>1434</v>
      </c>
      <c r="BJ8" s="1376">
        <v>2.9994372414631834E-2</v>
      </c>
      <c r="BK8" s="310">
        <v>2.0920879338979039E-2</v>
      </c>
      <c r="BL8" s="310"/>
      <c r="BM8" s="310"/>
      <c r="BN8" s="307"/>
      <c r="BO8" s="307"/>
      <c r="BP8" s="307"/>
      <c r="BQ8" s="307"/>
      <c r="BR8" s="307"/>
    </row>
    <row r="9" spans="1:70" ht="17">
      <c r="A9" s="444" t="s">
        <v>476</v>
      </c>
      <c r="B9" s="444" t="s">
        <v>475</v>
      </c>
      <c r="C9" s="404">
        <f>AVERAGE($AQ$23,$AQ$24,$AQ$25)</f>
        <v>408347.39270582842</v>
      </c>
      <c r="D9" s="404">
        <f>STDEV($AQ$23,$AQ$24,$AQ$25)</f>
        <v>15690.335511735164</v>
      </c>
      <c r="E9" s="404">
        <v>31380.671023470328</v>
      </c>
      <c r="F9" s="404">
        <f>AVERAGE($AQ$19,$AQ$20,$AQ$21,$AQ$22)</f>
        <v>18237.918892195521</v>
      </c>
      <c r="G9" s="404">
        <f>STDEV($AQ$19,$AQ$20,$AQ$21,$AQ$22)</f>
        <v>1320.9877600549871</v>
      </c>
      <c r="H9" s="404">
        <v>2641.9755201099742</v>
      </c>
      <c r="I9" s="406">
        <f>AVERAGE($AQ$15:AS$18)</f>
        <v>57319.355575898226</v>
      </c>
      <c r="J9" s="406">
        <f>STDEV($AQ$15:AT$18)</f>
        <v>77295.18452163857</v>
      </c>
      <c r="K9" s="406">
        <v>154590.36904327714</v>
      </c>
      <c r="L9" s="1323">
        <v>7.124075080801</v>
      </c>
      <c r="M9" s="571">
        <v>9.610718511195623</v>
      </c>
      <c r="N9" s="862">
        <v>19.221437022391246</v>
      </c>
      <c r="O9" s="443">
        <v>0.874</v>
      </c>
      <c r="P9" s="1482" t="s">
        <v>1424</v>
      </c>
      <c r="Q9" s="779">
        <v>0.43097660813587801</v>
      </c>
      <c r="R9" s="790">
        <f t="shared" si="0"/>
        <v>0.24260300314896086</v>
      </c>
      <c r="S9" s="790" t="e">
        <v>#VALUE!</v>
      </c>
      <c r="T9" s="790" t="e">
        <v>#VALUE!</v>
      </c>
      <c r="U9" s="790" t="e">
        <v>#VALUE!</v>
      </c>
      <c r="V9" s="790" t="e">
        <v>#VALUE!</v>
      </c>
      <c r="W9" s="856" t="e">
        <f>O9*((R9)^P9)</f>
        <v>#VALUE!</v>
      </c>
      <c r="X9" s="404" t="e">
        <f t="shared" si="1"/>
        <v>#VALUE!</v>
      </c>
      <c r="Y9" s="404" t="e">
        <f t="shared" si="2"/>
        <v>#VALUE!</v>
      </c>
      <c r="Z9" s="404"/>
      <c r="AA9" s="859">
        <v>22.390021313263482</v>
      </c>
      <c r="AB9" s="404">
        <v>1.8357946004010308</v>
      </c>
      <c r="AC9" s="749">
        <v>3.6715892008020616</v>
      </c>
      <c r="AD9" s="404"/>
      <c r="AE9" s="870">
        <v>0.31818080836666357</v>
      </c>
      <c r="AF9" s="871">
        <v>0.42968548807022156</v>
      </c>
      <c r="AG9" s="872">
        <v>0.85937097614044311</v>
      </c>
      <c r="AH9" s="444" t="s">
        <v>475</v>
      </c>
      <c r="AJ9" s="309"/>
      <c r="AK9" s="307"/>
      <c r="AL9" s="307"/>
      <c r="AM9" s="307"/>
      <c r="AN9" s="370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</row>
    <row r="10" spans="1:70" ht="17">
      <c r="A10" s="407" t="s">
        <v>270</v>
      </c>
      <c r="B10" s="407" t="s">
        <v>9</v>
      </c>
      <c r="C10" s="1447">
        <f>AVERAGE($AR$23,$AR$24,$AR$25)</f>
        <v>240.0387034159136</v>
      </c>
      <c r="D10" s="404">
        <f>STDEV($AR$23,$AR$24,$AR$25)</f>
        <v>15.034888866868313</v>
      </c>
      <c r="E10" s="1447">
        <v>30.069777733736625</v>
      </c>
      <c r="F10" s="1447">
        <f>AVERAGE($AR$19,$AR$20,$AR$21,$AR$22)</f>
        <v>176.14496701249664</v>
      </c>
      <c r="G10" s="404">
        <f>STDEV($AR$19,$AR$20,$AR$21,$AR$22)</f>
        <v>4.7998630368003479</v>
      </c>
      <c r="H10" s="1447">
        <v>9.5997260736006957</v>
      </c>
      <c r="I10" s="1447">
        <f>AVERAGE($AR$15:$AR$18)</f>
        <v>868.17747470303902</v>
      </c>
      <c r="J10" s="404">
        <f>STDEV($AR$15:$AR$18)</f>
        <v>207.16221677077252</v>
      </c>
      <c r="K10" s="1447">
        <v>414.32443354154503</v>
      </c>
      <c r="L10" s="1322">
        <v>0.2764857536738316</v>
      </c>
      <c r="M10" s="790">
        <v>6.8209333172683531E-2</v>
      </c>
      <c r="N10" s="876">
        <v>0.13641866634536706</v>
      </c>
      <c r="O10" s="404">
        <v>0.77</v>
      </c>
      <c r="P10" s="404">
        <v>1.39</v>
      </c>
      <c r="Q10" s="779">
        <v>0.43097660813587801</v>
      </c>
      <c r="R10" s="790">
        <f t="shared" si="0"/>
        <v>0.24260300314896086</v>
      </c>
      <c r="S10" s="790" cm="1">
        <f t="array" ref="S10:S12">O10:O12*(((1-(2*C47))/(1-C47))^P10:P12)</f>
        <v>7.3001959911686856E-2</v>
      </c>
      <c r="T10" s="790" cm="1">
        <f t="array" ref="T10:T12">O10:O12*(((1-(2*C46))/(1-C46))^P10:P12)</f>
        <v>0.14257291307371373</v>
      </c>
      <c r="U10" s="790">
        <v>3.4519810114374036E-2</v>
      </c>
      <c r="V10" s="790">
        <v>3.5051143047652833E-2</v>
      </c>
      <c r="W10" s="856">
        <f>O10*((R10)^P10)</f>
        <v>0.10752177002606089</v>
      </c>
      <c r="X10" s="404">
        <f t="shared" si="1"/>
        <v>2.5714397522177843</v>
      </c>
      <c r="Y10" s="404">
        <f t="shared" si="2"/>
        <v>0.63437695599831645</v>
      </c>
      <c r="Z10" s="404"/>
      <c r="AA10" s="859">
        <v>1.3627338179857504</v>
      </c>
      <c r="AB10" s="790">
        <v>9.3082924380232246E-2</v>
      </c>
      <c r="AC10" s="732">
        <v>0.18616584876046449</v>
      </c>
      <c r="AD10" s="404"/>
      <c r="AE10" s="869">
        <v>0.20289050585278914</v>
      </c>
      <c r="AF10" s="749">
        <v>4.8727854154756396E-2</v>
      </c>
      <c r="AG10" s="861">
        <v>9.7455708309512792E-2</v>
      </c>
      <c r="AH10" s="407" t="s">
        <v>9</v>
      </c>
      <c r="AJ10" s="396" t="s">
        <v>474</v>
      </c>
      <c r="AK10" s="400" t="s">
        <v>473</v>
      </c>
      <c r="AL10" s="401">
        <v>110.43773978774455</v>
      </c>
      <c r="AM10" s="400">
        <v>-2.1847543985897007</v>
      </c>
      <c r="AN10" s="408">
        <v>830000</v>
      </c>
      <c r="AO10" s="401">
        <v>8014.9743744061034</v>
      </c>
      <c r="AP10" s="401">
        <v>166563.44210180256</v>
      </c>
      <c r="AQ10" s="401">
        <v>169981.0352105652</v>
      </c>
      <c r="AR10" s="400">
        <v>1.4220398319793155</v>
      </c>
      <c r="AS10" s="403" t="s">
        <v>399</v>
      </c>
      <c r="AT10" s="403" t="s">
        <v>472</v>
      </c>
      <c r="AU10" s="403" t="s">
        <v>279</v>
      </c>
      <c r="AV10" s="401"/>
      <c r="AW10" s="403" t="s">
        <v>471</v>
      </c>
      <c r="AX10" s="403" t="s">
        <v>470</v>
      </c>
      <c r="AY10" s="401">
        <v>24.301467549634964</v>
      </c>
      <c r="AZ10" s="401">
        <v>27.498155569007235</v>
      </c>
      <c r="BA10" s="402">
        <v>3.0869096690018281</v>
      </c>
      <c r="BB10" s="402">
        <v>6.0519680143045704</v>
      </c>
      <c r="BC10" s="403" t="s">
        <v>469</v>
      </c>
      <c r="BD10" s="403"/>
      <c r="BE10" s="403"/>
      <c r="BF10" s="402">
        <v>2.66953719894236</v>
      </c>
      <c r="BG10" s="402">
        <v>2.2910707547663125</v>
      </c>
      <c r="BH10" s="401">
        <v>36.273239151669763</v>
      </c>
      <c r="BI10" s="401">
        <v>25.564294205108126</v>
      </c>
      <c r="BJ10" s="401">
        <v>28.129900060444328</v>
      </c>
      <c r="BK10" s="400">
        <v>0.10251219768198748</v>
      </c>
      <c r="BL10" s="400"/>
      <c r="BM10" s="400"/>
      <c r="BN10" s="398"/>
      <c r="BO10" s="394">
        <v>40.478996276855497</v>
      </c>
      <c r="BP10" s="399">
        <v>1.1061488675619648</v>
      </c>
      <c r="BQ10" s="398"/>
      <c r="BR10" s="398" t="s">
        <v>375</v>
      </c>
    </row>
    <row r="11" spans="1:70" ht="18" thickBot="1">
      <c r="A11" s="407" t="s">
        <v>270</v>
      </c>
      <c r="B11" s="407" t="s">
        <v>468</v>
      </c>
      <c r="C11" s="1447">
        <f>AVERAGE($AS$23,AS$24,$AS$25)</f>
        <v>41.658654495812556</v>
      </c>
      <c r="D11" s="404">
        <f>STDEV($AS$23,AT$24,$AS$25)</f>
        <v>14.159779475377842</v>
      </c>
      <c r="E11" s="1447">
        <v>28.319558950755685</v>
      </c>
      <c r="F11" s="1447">
        <f>AVERAGE($AS$19,$AS$20,AS$21,$AS$22)</f>
        <v>28.558530227073639</v>
      </c>
      <c r="G11" s="404">
        <f>STDEV($AS$19,$AS$20,AV$21,$AS$22)</f>
        <v>8.6424507333802314</v>
      </c>
      <c r="H11" s="1447">
        <v>17.284901466760463</v>
      </c>
      <c r="I11" s="1444">
        <f>AVERAGE($AS$15:$AS$18)</f>
        <v>29.270027779170441</v>
      </c>
      <c r="J11" s="404">
        <f>STDEV($AS$15:$AS$18)</f>
        <v>2.8871695350499538</v>
      </c>
      <c r="K11" s="1444">
        <v>5.7743390700999075</v>
      </c>
      <c r="L11" s="1322">
        <v>1.4232529880090612</v>
      </c>
      <c r="M11" s="790">
        <v>0.50372245041910391</v>
      </c>
      <c r="N11" s="876">
        <v>1.0074449008382078</v>
      </c>
      <c r="O11" s="404">
        <v>0.66</v>
      </c>
      <c r="P11" s="404">
        <v>0.99</v>
      </c>
      <c r="Q11" s="779">
        <v>0.43097660813587801</v>
      </c>
      <c r="R11" s="790">
        <f t="shared" si="0"/>
        <v>0.24260300314896086</v>
      </c>
      <c r="S11" s="790">
        <v>0.12325971824846055</v>
      </c>
      <c r="T11" s="790">
        <v>0.19854926209443929</v>
      </c>
      <c r="U11" s="790">
        <v>3.9142196912594823E-2</v>
      </c>
      <c r="V11" s="790">
        <v>3.6147346933383923E-2</v>
      </c>
      <c r="W11" s="856">
        <f t="shared" si="3"/>
        <v>0.16240191516105537</v>
      </c>
      <c r="X11" s="404">
        <f t="shared" si="1"/>
        <v>8.7637697289321306</v>
      </c>
      <c r="Y11" s="404">
        <f t="shared" si="2"/>
        <v>3.101702648762227</v>
      </c>
      <c r="Z11" s="404"/>
      <c r="AA11" s="859">
        <v>1.4587114310357585</v>
      </c>
      <c r="AB11" s="404">
        <v>0.6638537356574935</v>
      </c>
      <c r="AC11" s="732">
        <v>1.327707471314987</v>
      </c>
      <c r="AD11" s="404"/>
      <c r="AE11" s="869">
        <v>0.97569194134475246</v>
      </c>
      <c r="AF11" s="749">
        <v>0.31055522951645759</v>
      </c>
      <c r="AG11" s="861">
        <v>0.62111045903291517</v>
      </c>
      <c r="AH11" s="407" t="s">
        <v>468</v>
      </c>
      <c r="AJ11" s="396" t="s">
        <v>467</v>
      </c>
      <c r="AK11" s="400" t="s">
        <v>466</v>
      </c>
      <c r="AL11" s="401">
        <v>106.87305464462308</v>
      </c>
      <c r="AM11" s="401">
        <v>4.7878248866129471</v>
      </c>
      <c r="AN11" s="408">
        <v>830000</v>
      </c>
      <c r="AO11" s="401">
        <v>7912.7930733606981</v>
      </c>
      <c r="AP11" s="401">
        <v>159448.11987591931</v>
      </c>
      <c r="AQ11" s="401">
        <v>168479.94080495194</v>
      </c>
      <c r="AR11" s="400">
        <v>1.7869853148917219</v>
      </c>
      <c r="AS11" s="403" t="s">
        <v>404</v>
      </c>
      <c r="AT11" s="403" t="s">
        <v>465</v>
      </c>
      <c r="AU11" s="403" t="s">
        <v>160</v>
      </c>
      <c r="AV11" s="401"/>
      <c r="AW11" s="403" t="s">
        <v>464</v>
      </c>
      <c r="AX11" s="403" t="s">
        <v>463</v>
      </c>
      <c r="AY11" s="401">
        <v>22.674978186656894</v>
      </c>
      <c r="AZ11" s="401">
        <v>25.936449377411865</v>
      </c>
      <c r="BA11" s="402">
        <v>3.047837836469379</v>
      </c>
      <c r="BB11" s="402">
        <v>5.305934617706038</v>
      </c>
      <c r="BC11" s="403" t="s">
        <v>462</v>
      </c>
      <c r="BD11" s="403"/>
      <c r="BE11" s="403"/>
      <c r="BF11" s="402">
        <v>2.6817508118029449</v>
      </c>
      <c r="BG11" s="402">
        <v>2.25807224078418</v>
      </c>
      <c r="BH11" s="401">
        <v>36.293415429868496</v>
      </c>
      <c r="BI11" s="401">
        <v>24.256417174858328</v>
      </c>
      <c r="BJ11" s="401">
        <v>27.691408014237076</v>
      </c>
      <c r="BK11" s="403" t="s">
        <v>133</v>
      </c>
      <c r="BL11" s="400"/>
      <c r="BM11" s="400"/>
      <c r="BN11" s="398"/>
      <c r="BO11" s="394">
        <v>44.976997375488295</v>
      </c>
      <c r="BP11" s="399">
        <v>1.2396859094512485</v>
      </c>
      <c r="BQ11" s="398"/>
      <c r="BR11" s="398" t="s">
        <v>373</v>
      </c>
    </row>
    <row r="12" spans="1:70" ht="17">
      <c r="A12" s="407" t="s">
        <v>270</v>
      </c>
      <c r="B12" s="407" t="s">
        <v>461</v>
      </c>
      <c r="C12" s="404">
        <f>AVERAGE($AT$23,$AT$24,$AT$25)</f>
        <v>20.997389219288735</v>
      </c>
      <c r="D12" s="404">
        <f>STDEV($AT$23,$AT$24,$AT$25)</f>
        <v>9.2429745092964755</v>
      </c>
      <c r="E12" s="404">
        <v>18.485949018592951</v>
      </c>
      <c r="F12" s="404">
        <f>AVERAGE($AT$19,$AT$20,$AT$21,$AT$22)</f>
        <v>15.628102304242024</v>
      </c>
      <c r="G12" s="404">
        <f>STDEV($AT$19,$AT$20,$AT$21,$AT$22)</f>
        <v>2.5033871719097824</v>
      </c>
      <c r="H12" s="404">
        <v>5.0067743438195649</v>
      </c>
      <c r="I12" s="404">
        <f>AVERAGE($AT$15:$AT$18)</f>
        <v>22.171830138858127</v>
      </c>
      <c r="J12" s="404">
        <f>STDEV($AT$15:$AT$18)</f>
        <v>3.6959746133868445</v>
      </c>
      <c r="K12" s="404">
        <v>7.391949226773689</v>
      </c>
      <c r="L12" s="1322">
        <v>0.94703004162425553</v>
      </c>
      <c r="M12" s="790">
        <v>0.44576925308335347</v>
      </c>
      <c r="N12" s="876">
        <v>0.89153850616670693</v>
      </c>
      <c r="O12" s="404">
        <v>0.66</v>
      </c>
      <c r="P12" s="404">
        <v>0.99</v>
      </c>
      <c r="Q12" s="779">
        <v>0.43097660813587801</v>
      </c>
      <c r="R12" s="790">
        <f t="shared" si="0"/>
        <v>0.24260300314896086</v>
      </c>
      <c r="S12" s="790">
        <v>0.12325971824846055</v>
      </c>
      <c r="T12" s="790">
        <v>0.19854926209443929</v>
      </c>
      <c r="U12" s="790">
        <v>3.9142196912594823E-2</v>
      </c>
      <c r="V12" s="790">
        <v>3.6147346933383923E-2</v>
      </c>
      <c r="W12" s="856">
        <f t="shared" si="3"/>
        <v>0.16240191516105537</v>
      </c>
      <c r="X12" s="404">
        <f t="shared" si="1"/>
        <v>5.8313970046786565</v>
      </c>
      <c r="Y12" s="404">
        <f t="shared" si="2"/>
        <v>2.7448521936535064</v>
      </c>
      <c r="Z12" s="404"/>
      <c r="AA12" s="859">
        <v>1.3435661483729406</v>
      </c>
      <c r="AB12" s="404">
        <v>0.62937444249883023</v>
      </c>
      <c r="AC12" s="732">
        <v>1.2587488849976605</v>
      </c>
      <c r="AD12" s="404"/>
      <c r="AE12" s="869">
        <v>0.70486298182721363</v>
      </c>
      <c r="AF12" s="749">
        <v>0.16295461321394061</v>
      </c>
      <c r="AG12" s="861">
        <v>0.32590922642788123</v>
      </c>
      <c r="AH12" s="407" t="s">
        <v>461</v>
      </c>
      <c r="AJ12" s="432" t="s">
        <v>43</v>
      </c>
      <c r="AK12" s="428" t="s">
        <v>460</v>
      </c>
      <c r="AL12" s="427">
        <v>22.569534034172833</v>
      </c>
      <c r="AM12" s="427">
        <v>7.3881023425385886</v>
      </c>
      <c r="AN12" s="431">
        <v>937000</v>
      </c>
      <c r="AO12" s="427">
        <v>4814.8678817849732</v>
      </c>
      <c r="AP12" s="427">
        <v>56609.252218482397</v>
      </c>
      <c r="AQ12" s="427">
        <v>56234.777182044018</v>
      </c>
      <c r="AR12" s="427">
        <v>149.10121870067476</v>
      </c>
      <c r="AS12" s="430" t="s">
        <v>459</v>
      </c>
      <c r="AT12" s="430" t="s">
        <v>458</v>
      </c>
      <c r="AU12" s="427">
        <v>58.238466974948246</v>
      </c>
      <c r="AV12" s="427">
        <v>181.38018815975369</v>
      </c>
      <c r="AW12" s="427">
        <v>179.32923154289114</v>
      </c>
      <c r="AX12" s="425">
        <v>4.4205208181607647</v>
      </c>
      <c r="AY12" s="428">
        <v>6.4451762891566009</v>
      </c>
      <c r="AZ12" s="427">
        <v>20.665838960258991</v>
      </c>
      <c r="BA12" s="428">
        <v>2.0906622069602459</v>
      </c>
      <c r="BB12" s="428">
        <v>1.5320841489659316</v>
      </c>
      <c r="BC12" s="425">
        <v>1.2703759847973004</v>
      </c>
      <c r="BD12" s="426"/>
      <c r="BE12" s="428"/>
      <c r="BF12" s="428">
        <v>2.7497646792326207</v>
      </c>
      <c r="BG12" s="428">
        <v>1.0911164232911239</v>
      </c>
      <c r="BH12" s="427">
        <v>9.842224287195636</v>
      </c>
      <c r="BI12" s="427">
        <v>15.339750083419398</v>
      </c>
      <c r="BJ12" s="427">
        <v>30.311562995859422</v>
      </c>
      <c r="BK12" s="425">
        <v>0.65334239414937989</v>
      </c>
      <c r="BL12" s="425"/>
      <c r="BM12" s="425"/>
      <c r="BN12" s="422"/>
      <c r="BO12" s="424">
        <v>44.976997375488295</v>
      </c>
      <c r="BP12" s="423">
        <v>1.2022282311649664</v>
      </c>
      <c r="BQ12" s="422"/>
      <c r="BR12" s="421" t="s">
        <v>370</v>
      </c>
    </row>
    <row r="13" spans="1:70" ht="18" thickBot="1">
      <c r="A13" s="407" t="s">
        <v>270</v>
      </c>
      <c r="B13" s="407" t="s">
        <v>457</v>
      </c>
      <c r="C13" s="1447">
        <f>AVERAGE($AU$23,$AU$24,$AU$25)</f>
        <v>267.92575457947396</v>
      </c>
      <c r="D13" s="404">
        <f>STDEV($AU$23,$AU$24,$AU$25)</f>
        <v>18.757555326179723</v>
      </c>
      <c r="E13" s="1447">
        <v>37.515110652359446</v>
      </c>
      <c r="F13" s="803">
        <f>AVERAGE($AU$19,$AU$20,$AU$21,$AU$22)</f>
        <v>13.05447930687137</v>
      </c>
      <c r="G13" s="803" t="e">
        <f>STDEV($AU$19,$AU$20,$AU$21,$AU$22)</f>
        <v>#DIV/0!</v>
      </c>
      <c r="H13" s="803" t="e">
        <v>#DIV/0!</v>
      </c>
      <c r="I13" s="1447">
        <f>AVERAGE($AU$15:$AU$18)</f>
        <v>40.821484045620608</v>
      </c>
      <c r="J13" s="404">
        <f>STDEV($AU$15:$AU$18)</f>
        <v>16.272309952775945</v>
      </c>
      <c r="K13" s="1447">
        <v>32.54461990555189</v>
      </c>
      <c r="L13" s="1322">
        <v>6.5633516478736995</v>
      </c>
      <c r="M13" s="790">
        <v>2.6563362245775681</v>
      </c>
      <c r="N13" s="876">
        <v>5.3126724491551363</v>
      </c>
      <c r="O13" s="404">
        <v>0.76</v>
      </c>
      <c r="P13" s="404">
        <v>-2.81</v>
      </c>
      <c r="Q13" s="779">
        <v>0.43097660813587801</v>
      </c>
      <c r="R13" s="790">
        <f t="shared" si="0"/>
        <v>0.24260300314896086</v>
      </c>
      <c r="S13" s="790" cm="1">
        <f t="array" ref="S13:S20">O13:O20*(((1-(2*C46))/(1-C46))^P13:P20)</f>
        <v>22.989490656147719</v>
      </c>
      <c r="T13" s="790" cm="1">
        <f t="array" ref="T13:T20">O13:O20*(((1-(2*C47))/(1-C47))^P13:P20)</f>
        <v>88.962813805035708</v>
      </c>
      <c r="U13" s="790">
        <v>17.678746472177938</v>
      </c>
      <c r="V13" s="790">
        <v>48.294576676710051</v>
      </c>
      <c r="W13" s="856">
        <f t="shared" si="3"/>
        <v>40.668237128325657</v>
      </c>
      <c r="X13" s="404">
        <f t="shared" si="1"/>
        <v>0.16138766052640841</v>
      </c>
      <c r="Y13" s="404">
        <f t="shared" si="2"/>
        <v>6.5317220812785487E-2</v>
      </c>
      <c r="Z13" s="404"/>
      <c r="AA13" s="857">
        <v>20.523664581432083</v>
      </c>
      <c r="AB13" s="406" t="e">
        <v>#DIV/0!</v>
      </c>
      <c r="AC13" s="571" t="e">
        <v>#DIV/0!</v>
      </c>
      <c r="AD13" s="790">
        <f>AVERAGE(AU22)/I13</f>
        <v>0.3197943340884461</v>
      </c>
      <c r="AE13" s="868">
        <v>0.3197943340884461</v>
      </c>
      <c r="AF13" s="571" t="e">
        <v>#DIV/0!</v>
      </c>
      <c r="AG13" s="862" t="e">
        <v>#DIV/0!</v>
      </c>
      <c r="AH13" s="407" t="s">
        <v>457</v>
      </c>
      <c r="AJ13" s="420" t="s">
        <v>45</v>
      </c>
      <c r="AK13" s="414" t="s">
        <v>456</v>
      </c>
      <c r="AL13" s="414">
        <v>23.429162332854787</v>
      </c>
      <c r="AM13" s="414">
        <v>12.559317611831002</v>
      </c>
      <c r="AN13" s="419">
        <v>937000</v>
      </c>
      <c r="AO13" s="414">
        <v>4385.6180954897482</v>
      </c>
      <c r="AP13" s="414">
        <v>53397.725424654571</v>
      </c>
      <c r="AQ13" s="414">
        <v>53766.44359525192</v>
      </c>
      <c r="AR13" s="414">
        <v>140.91726575750016</v>
      </c>
      <c r="AS13" s="418" t="s">
        <v>455</v>
      </c>
      <c r="AT13" s="418" t="s">
        <v>374</v>
      </c>
      <c r="AU13" s="414">
        <v>57.761994206190558</v>
      </c>
      <c r="AV13" s="414">
        <v>172.62762161782777</v>
      </c>
      <c r="AW13" s="414">
        <v>174.68275712166118</v>
      </c>
      <c r="AX13" s="413">
        <v>4.180226456578743</v>
      </c>
      <c r="AY13" s="415">
        <v>6.3547165400625785</v>
      </c>
      <c r="AZ13" s="414">
        <v>19.338252590584631</v>
      </c>
      <c r="BA13" s="415">
        <v>2.1093094391992149</v>
      </c>
      <c r="BB13" s="415">
        <v>1.3286347293015635</v>
      </c>
      <c r="BC13" s="416" t="s">
        <v>454</v>
      </c>
      <c r="BD13" s="416"/>
      <c r="BE13" s="416"/>
      <c r="BF13" s="415">
        <v>2.95011253742982</v>
      </c>
      <c r="BG13" s="415">
        <v>1.1890241043664416</v>
      </c>
      <c r="BH13" s="415">
        <v>9.0387447368089173</v>
      </c>
      <c r="BI13" s="414">
        <v>14.861011444057182</v>
      </c>
      <c r="BJ13" s="414">
        <v>29.889038434153335</v>
      </c>
      <c r="BK13" s="413">
        <v>0.66663655442599079</v>
      </c>
      <c r="BL13" s="413"/>
      <c r="BM13" s="413"/>
      <c r="BN13" s="410"/>
      <c r="BO13" s="412">
        <v>45.619997024536197</v>
      </c>
      <c r="BP13" s="411">
        <v>0.76715790226050617</v>
      </c>
      <c r="BQ13" s="410"/>
      <c r="BR13" s="409" t="s">
        <v>366</v>
      </c>
    </row>
    <row r="14" spans="1:70" ht="17">
      <c r="A14" s="407" t="s">
        <v>270</v>
      </c>
      <c r="B14" s="407" t="s">
        <v>453</v>
      </c>
      <c r="C14" s="406">
        <f>AVERAGE($AV$23,$AV$24,$AV$25)</f>
        <v>879.31945437390902</v>
      </c>
      <c r="D14" s="406">
        <f>STDEV($AV$23,$AV$24,$AV$25)</f>
        <v>623.18893430072262</v>
      </c>
      <c r="E14" s="406">
        <v>1246.3778686014452</v>
      </c>
      <c r="F14" s="1444">
        <f>AVERAGE($AV$19,$AV$20,$AV$21,$AV$22)</f>
        <v>10.309986701850594</v>
      </c>
      <c r="G14" s="404">
        <f>STDEV($AV$19,$AV$20,$AV$21,$AV$22)</f>
        <v>0.90604491233284112</v>
      </c>
      <c r="H14" s="1444">
        <v>1.8120898246656822</v>
      </c>
      <c r="I14" s="1444">
        <f>AVERAGE($AV$15:$AV$18)</f>
        <v>14.89850538039072</v>
      </c>
      <c r="J14" s="404">
        <f>STDEV($AV$15:$AV$18)</f>
        <v>2.0197662417589659</v>
      </c>
      <c r="K14" s="1444">
        <v>4.0395324835179318</v>
      </c>
      <c r="L14" s="1323">
        <v>59.020648845169497</v>
      </c>
      <c r="M14" s="571">
        <v>42.58735667434069</v>
      </c>
      <c r="N14" s="862">
        <v>85.174713348681379</v>
      </c>
      <c r="O14" s="441">
        <v>0.63</v>
      </c>
      <c r="P14" s="404">
        <v>-3.23</v>
      </c>
      <c r="Q14" s="779">
        <v>0.43097660813587801</v>
      </c>
      <c r="R14" s="790">
        <f t="shared" si="0"/>
        <v>0.24260300314896086</v>
      </c>
      <c r="S14" s="790">
        <v>31.722927044201175</v>
      </c>
      <c r="T14" s="790">
        <v>150.27632999234751</v>
      </c>
      <c r="U14" s="790">
        <v>29.38899061230001</v>
      </c>
      <c r="V14" s="790">
        <v>89.164412335846322</v>
      </c>
      <c r="W14" s="856">
        <f t="shared" si="3"/>
        <v>61.111917656501184</v>
      </c>
      <c r="X14" s="404">
        <f t="shared" si="1"/>
        <v>0.96577968927294466</v>
      </c>
      <c r="Y14" s="404">
        <f t="shared" si="2"/>
        <v>0.69687482094272291</v>
      </c>
      <c r="Z14" s="404"/>
      <c r="AA14" s="857">
        <v>85.288126920287425</v>
      </c>
      <c r="AB14" s="406">
        <v>60.908096597244466</v>
      </c>
      <c r="AC14" s="571">
        <v>121.81619319448893</v>
      </c>
      <c r="AD14" s="790"/>
      <c r="AE14" s="869">
        <v>0.69201483226770566</v>
      </c>
      <c r="AF14" s="749">
        <v>0.11180213569655575</v>
      </c>
      <c r="AG14" s="861">
        <v>0.22360427139311151</v>
      </c>
      <c r="AH14" s="407" t="s">
        <v>453</v>
      </c>
      <c r="AJ14" s="309" t="s">
        <v>365</v>
      </c>
      <c r="AK14" s="365" t="s">
        <v>452</v>
      </c>
      <c r="AL14" s="366">
        <v>12.517410355853411</v>
      </c>
      <c r="AM14" s="366">
        <v>3.8319571772644894</v>
      </c>
      <c r="AN14" s="369">
        <v>938000</v>
      </c>
      <c r="AO14" s="366">
        <v>4611.8243777130074</v>
      </c>
      <c r="AP14" s="366">
        <v>51711.255233603508</v>
      </c>
      <c r="AQ14" s="366">
        <v>53174.050797508033</v>
      </c>
      <c r="AR14" s="366">
        <v>140.75361110696329</v>
      </c>
      <c r="AS14" s="442" t="s">
        <v>442</v>
      </c>
      <c r="AT14" s="368" t="s">
        <v>451</v>
      </c>
      <c r="AU14" s="366">
        <v>54.361329797338961</v>
      </c>
      <c r="AV14" s="366">
        <v>185.66368888319522</v>
      </c>
      <c r="AW14" s="366">
        <v>185.9780597891374</v>
      </c>
      <c r="AX14" s="365">
        <v>5.0041956130800278</v>
      </c>
      <c r="AY14" s="367">
        <v>5.8235066754162323</v>
      </c>
      <c r="AZ14" s="366">
        <v>16.536298076727434</v>
      </c>
      <c r="BA14" s="367">
        <v>2.1078870146098829</v>
      </c>
      <c r="BB14" s="367">
        <v>1.3884685841339113</v>
      </c>
      <c r="BC14" s="368" t="s">
        <v>450</v>
      </c>
      <c r="BD14" s="368"/>
      <c r="BE14" s="368"/>
      <c r="BF14" s="367">
        <v>2.3115755646499787</v>
      </c>
      <c r="BG14" s="365">
        <v>0.147309964263243</v>
      </c>
      <c r="BH14" s="367">
        <v>1.0157353821934554</v>
      </c>
      <c r="BI14" s="367">
        <v>3.2816350963472005</v>
      </c>
      <c r="BJ14" s="366">
        <v>22.40050924649853</v>
      </c>
      <c r="BK14" s="365">
        <v>0.70703451623381264</v>
      </c>
      <c r="BL14" s="365"/>
      <c r="BM14" s="365"/>
      <c r="BN14" s="307"/>
      <c r="BO14" s="308">
        <v>41.122001647949197</v>
      </c>
      <c r="BP14" s="364">
        <v>1.2031401019166268</v>
      </c>
      <c r="BQ14" s="307"/>
      <c r="BR14" s="307" t="s">
        <v>363</v>
      </c>
    </row>
    <row r="15" spans="1:70" ht="17">
      <c r="A15" s="407" t="s">
        <v>270</v>
      </c>
      <c r="B15" s="407" t="s">
        <v>449</v>
      </c>
      <c r="C15" s="406">
        <f>AVERAGE($AW$23,$AW$24,$AW$25)</f>
        <v>948.12342477719858</v>
      </c>
      <c r="D15" s="406">
        <f>STDEV($AW$23,$AW$24,$AW$25)</f>
        <v>666.80516156735791</v>
      </c>
      <c r="E15" s="406">
        <v>1333.6103231347158</v>
      </c>
      <c r="F15" s="406" t="e">
        <f>AVERAGE($AW$19,$AW$20,$AW$21,$AW$22)</f>
        <v>#DIV/0!</v>
      </c>
      <c r="G15" s="406" t="e">
        <f>STDEV($AW$19,$AW$20,$AW$21,$AW$22)</f>
        <v>#DIV/0!</v>
      </c>
      <c r="H15" s="406" t="e">
        <v>#DIV/0!</v>
      </c>
      <c r="I15" s="1444">
        <f>AVERAGE($AW$15:$AW$18)</f>
        <v>8.9885417256429108</v>
      </c>
      <c r="J15" s="404">
        <f>STDEV($AW$15:$AW$18)</f>
        <v>2.0818270246472359</v>
      </c>
      <c r="K15" s="1444">
        <v>4.1636540492944718</v>
      </c>
      <c r="L15" s="1323">
        <v>105.48133987878701</v>
      </c>
      <c r="M15" s="571">
        <v>78.103124611865482</v>
      </c>
      <c r="N15" s="862">
        <v>156.20624922373096</v>
      </c>
      <c r="O15" s="441">
        <v>0.63</v>
      </c>
      <c r="P15" s="404">
        <v>-3.23</v>
      </c>
      <c r="Q15" s="779">
        <v>0.43097660813587801</v>
      </c>
      <c r="R15" s="790">
        <f t="shared" si="0"/>
        <v>0.24260300314896086</v>
      </c>
      <c r="S15" s="790">
        <v>31.722927044201175</v>
      </c>
      <c r="T15" s="790">
        <v>150.27632999234751</v>
      </c>
      <c r="U15" s="790">
        <v>29.38899061230001</v>
      </c>
      <c r="V15" s="790">
        <v>89.164412335846322</v>
      </c>
      <c r="W15" s="856">
        <f t="shared" si="3"/>
        <v>61.111917656501184</v>
      </c>
      <c r="X15" s="404">
        <f t="shared" si="1"/>
        <v>1.7260355086822534</v>
      </c>
      <c r="Y15" s="404">
        <f t="shared" si="2"/>
        <v>1.2780342624963716</v>
      </c>
      <c r="Z15" s="404"/>
      <c r="AA15" s="857" t="e">
        <v>#DIV/0!</v>
      </c>
      <c r="AB15" s="406" t="e">
        <v>#DIV/0!</v>
      </c>
      <c r="AC15" s="571" t="e">
        <v>#DIV/0!</v>
      </c>
      <c r="AD15" s="790"/>
      <c r="AE15" s="868" t="e">
        <v>#DIV/0!</v>
      </c>
      <c r="AF15" s="571" t="e">
        <v>#DIV/0!</v>
      </c>
      <c r="AG15" s="862" t="e">
        <v>#DIV/0!</v>
      </c>
      <c r="AH15" s="407" t="s">
        <v>449</v>
      </c>
      <c r="AJ15" s="934" t="s">
        <v>362</v>
      </c>
      <c r="AK15" s="935" t="s">
        <v>448</v>
      </c>
      <c r="AL15" s="936" t="s">
        <v>190</v>
      </c>
      <c r="AM15" s="935" t="s">
        <v>447</v>
      </c>
      <c r="AN15" s="937">
        <v>507500</v>
      </c>
      <c r="AO15" s="938">
        <v>328.59464382175963</v>
      </c>
      <c r="AP15" s="938">
        <v>1652.4135088464366</v>
      </c>
      <c r="AQ15" s="938">
        <v>197508.49259912339</v>
      </c>
      <c r="AR15" s="938">
        <v>1164.5942094622301</v>
      </c>
      <c r="AS15" s="938">
        <v>30.753050936598864</v>
      </c>
      <c r="AT15" s="938">
        <v>24.909919998597776</v>
      </c>
      <c r="AU15" s="938">
        <v>53.354149180949847</v>
      </c>
      <c r="AV15" s="939">
        <v>15.994702789644991</v>
      </c>
      <c r="AW15" s="938">
        <v>10.647160659664316</v>
      </c>
      <c r="AX15" s="938">
        <v>85.90286140741263</v>
      </c>
      <c r="AY15" s="938">
        <v>187.45837793062739</v>
      </c>
      <c r="AZ15" s="940">
        <v>7.3256724917016225</v>
      </c>
      <c r="BA15" s="940">
        <v>6.3705355220713322</v>
      </c>
      <c r="BB15" s="938">
        <v>47.080955446410769</v>
      </c>
      <c r="BC15" s="938">
        <v>8249.5655853316039</v>
      </c>
      <c r="BD15" s="938"/>
      <c r="BE15" s="938"/>
      <c r="BF15" s="940">
        <v>1.1416181320498653</v>
      </c>
      <c r="BG15" s="935">
        <v>0.26426117021149531</v>
      </c>
      <c r="BH15" s="935">
        <v>0.10242544669959827</v>
      </c>
      <c r="BI15" s="935">
        <v>0.24156307000085256</v>
      </c>
      <c r="BJ15" s="940">
        <v>1.5001095476830653</v>
      </c>
      <c r="BK15" s="938">
        <v>61.035253639565411</v>
      </c>
      <c r="BL15" s="935"/>
      <c r="BM15" s="935"/>
      <c r="BN15" s="941"/>
      <c r="BO15" s="942">
        <v>46.262001037597599</v>
      </c>
      <c r="BP15" s="943">
        <v>6.4816452198707086</v>
      </c>
      <c r="BQ15" s="941"/>
      <c r="BR15" s="944" t="s">
        <v>361</v>
      </c>
    </row>
    <row r="16" spans="1:70" ht="17">
      <c r="A16" s="407" t="s">
        <v>270</v>
      </c>
      <c r="B16" s="407" t="s">
        <v>13</v>
      </c>
      <c r="C16" s="1447">
        <f>AVERAGE($AX$23,$AX$24,$AX$25)</f>
        <v>684.28348522907254</v>
      </c>
      <c r="D16" s="404">
        <f>STDEV($AX$23,$AX$24,$AX$25)</f>
        <v>54.217041919563954</v>
      </c>
      <c r="E16" s="1447">
        <v>108.43408383912791</v>
      </c>
      <c r="F16" s="406">
        <f>AVERAGE($AX$19,$AX$20,$AX$21,$AX$22)</f>
        <v>3.2140832921787168</v>
      </c>
      <c r="G16" s="406" t="e">
        <f>STDEV($AX$19,$AX$20,$AX$21,$AX$22)</f>
        <v>#DIV/0!</v>
      </c>
      <c r="H16" s="406" t="e">
        <v>#DIV/0!</v>
      </c>
      <c r="I16" s="1447">
        <f>AVERAGE($AX$15:$AX$18)</f>
        <v>70.396615852428852</v>
      </c>
      <c r="J16" s="404">
        <f>STDEV($AX$15:$AX$18)</f>
        <v>13.357795263526574</v>
      </c>
      <c r="K16" s="1447">
        <v>26.715590527053148</v>
      </c>
      <c r="L16" s="1322">
        <v>9.7204031322119739</v>
      </c>
      <c r="M16" s="790">
        <v>1.9987888224856469</v>
      </c>
      <c r="N16" s="876">
        <v>3.9975776449712939</v>
      </c>
      <c r="O16" s="441">
        <v>0.23</v>
      </c>
      <c r="P16" s="404">
        <v>-2</v>
      </c>
      <c r="Q16" s="779">
        <v>0.43097660813587801</v>
      </c>
      <c r="R16" s="790">
        <f t="shared" si="0"/>
        <v>0.24260300314896086</v>
      </c>
      <c r="S16" s="790">
        <v>2.6038625450002799</v>
      </c>
      <c r="T16" s="790">
        <v>6.8217380342024176</v>
      </c>
      <c r="U16" s="790">
        <v>1.3039659086198188</v>
      </c>
      <c r="V16" s="790">
        <v>2.913909580582319</v>
      </c>
      <c r="W16" s="856">
        <f t="shared" si="3"/>
        <v>3.9078284536200987</v>
      </c>
      <c r="X16" s="404">
        <f t="shared" si="1"/>
        <v>2.4874180756853015</v>
      </c>
      <c r="Y16" s="404">
        <f t="shared" si="2"/>
        <v>0.51148325629136226</v>
      </c>
      <c r="Z16" s="404"/>
      <c r="AA16" s="857">
        <v>212.90160304626713</v>
      </c>
      <c r="AB16" s="406" t="e">
        <v>#DIV/0!</v>
      </c>
      <c r="AC16" s="571" t="e">
        <v>#DIV/0!</v>
      </c>
      <c r="AD16" s="790">
        <f>AVERAGE(AX22)/I16</f>
        <v>4.5656786952889057E-2</v>
      </c>
      <c r="AE16" s="868">
        <v>4.5656786952889057E-2</v>
      </c>
      <c r="AF16" s="571" t="e">
        <v>#DIV/0!</v>
      </c>
      <c r="AG16" s="862" t="e">
        <v>#DIV/0!</v>
      </c>
      <c r="AH16" s="407" t="s">
        <v>13</v>
      </c>
      <c r="AJ16" s="945" t="s">
        <v>360</v>
      </c>
      <c r="AK16" s="946" t="s">
        <v>446</v>
      </c>
      <c r="AL16" s="947">
        <v>0.85976869920723742</v>
      </c>
      <c r="AM16" s="946" t="s">
        <v>445</v>
      </c>
      <c r="AN16" s="948">
        <v>507500</v>
      </c>
      <c r="AO16" s="949">
        <v>325.51545031225277</v>
      </c>
      <c r="AP16" s="949">
        <v>15398.552812679307</v>
      </c>
      <c r="AQ16" s="949">
        <v>140859.19335542011</v>
      </c>
      <c r="AR16" s="949">
        <v>681.60698145113486</v>
      </c>
      <c r="AS16" s="949">
        <v>29.715661400569818</v>
      </c>
      <c r="AT16" s="949">
        <v>17.220963620405016</v>
      </c>
      <c r="AU16" s="949">
        <v>21.865672300887017</v>
      </c>
      <c r="AV16" s="950">
        <v>17.188448066339774</v>
      </c>
      <c r="AW16" s="949">
        <v>10.913195522506198</v>
      </c>
      <c r="AX16" s="949">
        <v>69.160156894815572</v>
      </c>
      <c r="AY16" s="949">
        <v>194.13068688013121</v>
      </c>
      <c r="AZ16" s="949">
        <v>9.8309560964365037</v>
      </c>
      <c r="BA16" s="949">
        <v>11.008868053878251</v>
      </c>
      <c r="BB16" s="949">
        <v>54.957755333859858</v>
      </c>
      <c r="BC16" s="949">
        <v>3566.8529980402818</v>
      </c>
      <c r="BD16" s="949"/>
      <c r="BE16" s="949"/>
      <c r="BF16" s="947">
        <v>1.0084737951772489</v>
      </c>
      <c r="BG16" s="946">
        <v>0.36954970588490815</v>
      </c>
      <c r="BH16" s="946">
        <v>0.1285024268668046</v>
      </c>
      <c r="BI16" s="946">
        <v>0.30461086154349787</v>
      </c>
      <c r="BJ16" s="947">
        <v>2.2609661858293428</v>
      </c>
      <c r="BK16" s="949">
        <v>77.90199241861805</v>
      </c>
      <c r="BL16" s="946"/>
      <c r="BM16" s="946"/>
      <c r="BN16" s="951"/>
      <c r="BO16" s="952">
        <v>44.977001190185497</v>
      </c>
      <c r="BP16" s="953">
        <v>7.0907897175837267</v>
      </c>
      <c r="BQ16" s="951"/>
      <c r="BR16" s="954" t="s">
        <v>359</v>
      </c>
    </row>
    <row r="17" spans="1:70" ht="17">
      <c r="A17" s="435" t="s">
        <v>444</v>
      </c>
      <c r="B17" s="435" t="s">
        <v>443</v>
      </c>
      <c r="C17" s="1448">
        <f>AVERAGE($AY$58,$AY$59,$AY$60)</f>
        <v>363.73946713019433</v>
      </c>
      <c r="D17" s="433">
        <f>STDEV($AY$58,$AY$59,$AY$60)</f>
        <v>18.990367372814291</v>
      </c>
      <c r="E17" s="1448">
        <v>37.980734745628581</v>
      </c>
      <c r="F17" s="1448">
        <f>AVERAGE($AY$54,$AY$55,$AY$56,$AY$57)</f>
        <v>381.77630953236348</v>
      </c>
      <c r="G17" s="433">
        <f>STDEV($AY$54,$AY$55,$AY$56,$AY$57)</f>
        <v>34.523394379063035</v>
      </c>
      <c r="H17" s="1448">
        <v>69.04678875812607</v>
      </c>
      <c r="I17" s="1448">
        <f>AVERAGE($AY$50:$AY$53)</f>
        <v>190.80099290462479</v>
      </c>
      <c r="J17" s="433">
        <f>STDEV($AY$50:$AY$53)</f>
        <v>3.6143315984906814</v>
      </c>
      <c r="K17" s="1448">
        <v>7.2286631969813628</v>
      </c>
      <c r="L17" s="930">
        <v>1.9063814165370505</v>
      </c>
      <c r="M17" s="570">
        <v>0.10587857825862147</v>
      </c>
      <c r="N17" s="879">
        <v>0.21175715651724294</v>
      </c>
      <c r="O17" s="777">
        <v>0.67</v>
      </c>
      <c r="P17" s="433">
        <v>-1.33</v>
      </c>
      <c r="Q17" s="778">
        <v>0.43097660813587801</v>
      </c>
      <c r="R17" s="570">
        <f t="shared" si="0"/>
        <v>0.24260300314896086</v>
      </c>
      <c r="S17" s="570">
        <v>3.3644323333663695</v>
      </c>
      <c r="T17" s="570">
        <v>6.3836047891015157</v>
      </c>
      <c r="U17" s="570">
        <v>1.0427690237292579</v>
      </c>
      <c r="V17" s="570">
        <v>1.9764034320058883</v>
      </c>
      <c r="W17" s="888">
        <f t="shared" si="3"/>
        <v>4.4072013570956274</v>
      </c>
      <c r="X17" s="433">
        <f t="shared" si="1"/>
        <v>0.43256054399869026</v>
      </c>
      <c r="Y17" s="433">
        <f t="shared" si="2"/>
        <v>2.4023993840934035E-2</v>
      </c>
      <c r="Z17" s="433"/>
      <c r="AA17" s="863">
        <v>0.95275546975593528</v>
      </c>
      <c r="AB17" s="570">
        <v>9.9484425508930177E-2</v>
      </c>
      <c r="AC17" s="573">
        <v>0.19896885101786035</v>
      </c>
      <c r="AD17" s="433"/>
      <c r="AE17" s="873">
        <v>2.0009136415930553</v>
      </c>
      <c r="AF17" s="573">
        <v>0.1848666403009922</v>
      </c>
      <c r="AG17" s="864">
        <v>0.3697332806019844</v>
      </c>
      <c r="AH17" s="435" t="s">
        <v>443</v>
      </c>
      <c r="AJ17" s="945" t="s">
        <v>358</v>
      </c>
      <c r="AK17" s="949">
        <v>4328.4097575582919</v>
      </c>
      <c r="AL17" s="955" t="s">
        <v>442</v>
      </c>
      <c r="AM17" s="946" t="s">
        <v>441</v>
      </c>
      <c r="AN17" s="948">
        <v>507500</v>
      </c>
      <c r="AO17" s="949">
        <v>298.77710059941433</v>
      </c>
      <c r="AP17" s="949">
        <v>9016.7789589544191</v>
      </c>
      <c r="AQ17" s="949">
        <v>156710.34916182898</v>
      </c>
      <c r="AR17" s="949">
        <v>808.56264914499366</v>
      </c>
      <c r="AS17" s="949">
        <v>31.526680472991281</v>
      </c>
      <c r="AT17" s="949">
        <v>21.472079022577208</v>
      </c>
      <c r="AU17" s="949">
        <v>32.68966030361311</v>
      </c>
      <c r="AV17" s="950">
        <v>13.032362549128131</v>
      </c>
      <c r="AW17" s="947">
        <v>6.9451311124812909</v>
      </c>
      <c r="AX17" s="949">
        <v>53.476371354774955</v>
      </c>
      <c r="AY17" s="949">
        <v>189.95532424583348</v>
      </c>
      <c r="AZ17" s="947">
        <v>5.4084760477991711</v>
      </c>
      <c r="BA17" s="947">
        <v>5.0835088073818495</v>
      </c>
      <c r="BB17" s="949">
        <v>47.934537457248076</v>
      </c>
      <c r="BC17" s="949">
        <v>5294.3582013161149</v>
      </c>
      <c r="BD17" s="949"/>
      <c r="BE17" s="949"/>
      <c r="BF17" s="947">
        <v>1.0164451375895938</v>
      </c>
      <c r="BG17" s="946">
        <v>0.16540668048049062</v>
      </c>
      <c r="BH17" s="946">
        <v>7.6520489776942896E-2</v>
      </c>
      <c r="BI17" s="946">
        <v>0.18024775379177305</v>
      </c>
      <c r="BJ17" s="947">
        <v>1.06010755891774</v>
      </c>
      <c r="BK17" s="949">
        <v>51.777407150826193</v>
      </c>
      <c r="BL17" s="946"/>
      <c r="BM17" s="946"/>
      <c r="BN17" s="951"/>
      <c r="BO17" s="952">
        <v>47.547000885009695</v>
      </c>
      <c r="BP17" s="953">
        <v>7.335761069676046</v>
      </c>
      <c r="BQ17" s="951"/>
      <c r="BR17" s="954" t="s">
        <v>356</v>
      </c>
    </row>
    <row r="18" spans="1:70" ht="17">
      <c r="A18" s="407" t="s">
        <v>270</v>
      </c>
      <c r="B18" s="407" t="s">
        <v>440</v>
      </c>
      <c r="C18" s="406">
        <f>AVERAGE($AZ$23,$AZ$24,$AZ$25)</f>
        <v>887.98207672368392</v>
      </c>
      <c r="D18" s="406">
        <f>STDEV($AZ$23,$AZ$24,$AZ$25)</f>
        <v>607.44063569899959</v>
      </c>
      <c r="E18" s="406">
        <v>1214.8812713979992</v>
      </c>
      <c r="F18" s="1444">
        <f>AVERAGE($AZ$19,$AZ$20,$AZ$21,$AZ$22)</f>
        <v>2.4135329552953833</v>
      </c>
      <c r="G18" s="404">
        <f>STDEV($AZ$19,$AZ$20,$AZ$21,$AZ$22)</f>
        <v>9.7509785366604762E-2</v>
      </c>
      <c r="H18" s="1444">
        <v>0.19501957073320952</v>
      </c>
      <c r="I18" s="1444">
        <f>AVERAGE($AZ$15:$AZ$18)</f>
        <v>7.0997299532154976</v>
      </c>
      <c r="J18" s="404">
        <f>STDEV($AZ$15:$AZ$18)</f>
        <v>1.9977926376819661</v>
      </c>
      <c r="K18" s="1444">
        <v>3.9955852753639323</v>
      </c>
      <c r="L18" s="1323">
        <v>125.07265523831833</v>
      </c>
      <c r="M18" s="571">
        <v>92.514047528725868</v>
      </c>
      <c r="N18" s="862">
        <v>185.02809505745174</v>
      </c>
      <c r="O18" s="404">
        <v>1.18</v>
      </c>
      <c r="P18" s="404">
        <v>-3.89</v>
      </c>
      <c r="Q18" s="779">
        <v>0.43097660813587801</v>
      </c>
      <c r="R18" s="790">
        <f t="shared" si="0"/>
        <v>0.24260300314896086</v>
      </c>
      <c r="S18" s="790">
        <v>132.34224038178837</v>
      </c>
      <c r="T18" s="790">
        <v>861.48399772483356</v>
      </c>
      <c r="U18" s="790">
        <v>159.15597198093366</v>
      </c>
      <c r="V18" s="790">
        <v>569.98578536211153</v>
      </c>
      <c r="W18" s="856">
        <f t="shared" si="3"/>
        <v>291.49821236272203</v>
      </c>
      <c r="X18" s="404">
        <f t="shared" si="1"/>
        <v>0.4290683439344245</v>
      </c>
      <c r="Y18" s="404">
        <f t="shared" si="2"/>
        <v>0.31737432205452842</v>
      </c>
      <c r="Z18" s="404"/>
      <c r="AA18" s="857">
        <v>367.91794152858671</v>
      </c>
      <c r="AB18" s="406">
        <v>252.11966680733417</v>
      </c>
      <c r="AC18" s="571">
        <v>504.23933361466834</v>
      </c>
      <c r="AD18" s="404"/>
      <c r="AE18" s="869">
        <v>0.33994714886335697</v>
      </c>
      <c r="AF18" s="749">
        <v>9.6638648591134496E-2</v>
      </c>
      <c r="AG18" s="861">
        <v>0.19327729718226899</v>
      </c>
      <c r="AH18" s="407" t="s">
        <v>440</v>
      </c>
      <c r="AJ18" s="945" t="s">
        <v>355</v>
      </c>
      <c r="AK18" s="949">
        <v>1031.4311605682278</v>
      </c>
      <c r="AL18" s="956" t="s">
        <v>113</v>
      </c>
      <c r="AM18" s="957" t="s">
        <v>439</v>
      </c>
      <c r="AN18" s="948">
        <v>507500</v>
      </c>
      <c r="AO18" s="949">
        <v>326.48134602379167</v>
      </c>
      <c r="AP18" s="958" t="s">
        <v>438</v>
      </c>
      <c r="AQ18" s="949">
        <v>189164.44178447744</v>
      </c>
      <c r="AR18" s="949">
        <v>817.94605875379796</v>
      </c>
      <c r="AS18" s="949">
        <v>25.084718306521811</v>
      </c>
      <c r="AT18" s="949">
        <v>25.084357913852518</v>
      </c>
      <c r="AU18" s="949">
        <v>55.376454397032475</v>
      </c>
      <c r="AV18" s="950">
        <v>13.378508116449987</v>
      </c>
      <c r="AW18" s="947">
        <v>7.4486796079198339</v>
      </c>
      <c r="AX18" s="949">
        <v>73.047073752712237</v>
      </c>
      <c r="AY18" s="949">
        <v>199.24089046181967</v>
      </c>
      <c r="AZ18" s="947">
        <v>5.8338151769246931</v>
      </c>
      <c r="BA18" s="947">
        <v>4.9399934985091196</v>
      </c>
      <c r="BB18" s="949">
        <v>60.785130547335527</v>
      </c>
      <c r="BC18" s="949">
        <v>6004.252310292899</v>
      </c>
      <c r="BD18" s="949"/>
      <c r="BE18" s="949"/>
      <c r="BF18" s="946">
        <v>0.5345870004896569</v>
      </c>
      <c r="BG18" s="946">
        <v>0.21454895346651129</v>
      </c>
      <c r="BH18" s="946">
        <v>7.7195508895547674E-2</v>
      </c>
      <c r="BI18" s="946">
        <v>0.1896754318769191</v>
      </c>
      <c r="BJ18" s="947">
        <v>1.1067507560657603</v>
      </c>
      <c r="BK18" s="949">
        <v>59.520803745016806</v>
      </c>
      <c r="BL18" s="946"/>
      <c r="BM18" s="946"/>
      <c r="BN18" s="951"/>
      <c r="BO18" s="952">
        <v>45.618999481201094</v>
      </c>
      <c r="BP18" s="953">
        <v>6.6986116083265808</v>
      </c>
      <c r="BQ18" s="951"/>
      <c r="BR18" s="954" t="s">
        <v>353</v>
      </c>
    </row>
    <row r="19" spans="1:70" ht="17">
      <c r="A19" s="407" t="s">
        <v>270</v>
      </c>
      <c r="B19" s="407" t="s">
        <v>16</v>
      </c>
      <c r="C19" s="1447">
        <f>AVERAGE($BA$23,$BA$24,$BA$25)</f>
        <v>566.02582314225617</v>
      </c>
      <c r="D19" s="404">
        <f>STDEV($BA$23,$BA$24,$BA$25)</f>
        <v>243.09539928190981</v>
      </c>
      <c r="E19" s="1447">
        <v>486.19079856381961</v>
      </c>
      <c r="F19" s="805">
        <f>AVERAGE($BA$19,$BA$20,$BA$21,$BA$22)</f>
        <v>0.79431840590562819</v>
      </c>
      <c r="G19" s="805">
        <f>STDEV($BA$19,$BA$20,$BA$21,$BA$22)</f>
        <v>0.97881941257616067</v>
      </c>
      <c r="H19" s="805">
        <v>1.9576388251523213</v>
      </c>
      <c r="I19" s="1444">
        <f>AVERAGE($BA$15:$BA$18)</f>
        <v>6.8507264704601383</v>
      </c>
      <c r="J19" s="404">
        <f>STDEV($BA$15:$BA$18)</f>
        <v>2.8457385411325746</v>
      </c>
      <c r="K19" s="1444">
        <v>5.6914770822651493</v>
      </c>
      <c r="L19" s="1323">
        <v>82.622744548759997</v>
      </c>
      <c r="M19" s="571">
        <v>49.366774842696422</v>
      </c>
      <c r="N19" s="862">
        <v>98.733549685392845</v>
      </c>
      <c r="O19" s="404">
        <v>0.97</v>
      </c>
      <c r="P19" s="404">
        <v>-2.66</v>
      </c>
      <c r="Q19" s="779">
        <v>0.43097660813587801</v>
      </c>
      <c r="R19" s="790">
        <f t="shared" si="0"/>
        <v>0.24260300314896086</v>
      </c>
      <c r="S19" s="790">
        <v>24.459395807589747</v>
      </c>
      <c r="T19" s="790">
        <v>88.055018490391191</v>
      </c>
      <c r="U19" s="790">
        <v>17.511468723321304</v>
      </c>
      <c r="V19" s="790">
        <v>46.08415395948014</v>
      </c>
      <c r="W19" s="856">
        <f t="shared" si="3"/>
        <v>41.970864530911051</v>
      </c>
      <c r="X19" s="404">
        <f t="shared" si="1"/>
        <v>1.9685738064296796</v>
      </c>
      <c r="Y19" s="404">
        <f t="shared" si="2"/>
        <v>1.1762153435352367</v>
      </c>
      <c r="Z19" s="404"/>
      <c r="AA19" s="857">
        <v>712.59310993418535</v>
      </c>
      <c r="AB19" s="406">
        <v>929.91485118344292</v>
      </c>
      <c r="AC19" s="571">
        <v>1859.8297023668858</v>
      </c>
      <c r="AD19" s="404"/>
      <c r="AE19" s="868">
        <v>0.11594659476344218</v>
      </c>
      <c r="AF19" s="571">
        <v>0.15077759328151269</v>
      </c>
      <c r="AG19" s="862">
        <v>0.30155518656302538</v>
      </c>
      <c r="AH19" s="407" t="s">
        <v>16</v>
      </c>
      <c r="AJ19" s="362" t="s">
        <v>352</v>
      </c>
      <c r="AK19" s="360">
        <v>903.41676896823992</v>
      </c>
      <c r="AL19" s="359">
        <v>3.6526626348892797</v>
      </c>
      <c r="AM19" s="363" t="s">
        <v>437</v>
      </c>
      <c r="AN19" s="361">
        <v>621500</v>
      </c>
      <c r="AO19" s="360">
        <v>147.66506449023908</v>
      </c>
      <c r="AP19" s="360">
        <v>16953.625486648009</v>
      </c>
      <c r="AQ19" s="360">
        <v>17644.348148957513</v>
      </c>
      <c r="AR19" s="360">
        <v>177.91481826981408</v>
      </c>
      <c r="AS19" s="360">
        <v>29.789242712993275</v>
      </c>
      <c r="AT19" s="360">
        <v>14.052373746942662</v>
      </c>
      <c r="AU19" s="437" t="s">
        <v>185</v>
      </c>
      <c r="AV19" s="439">
        <v>9.3457155945876487</v>
      </c>
      <c r="AW19" s="358" t="s">
        <v>436</v>
      </c>
      <c r="AX19" s="358" t="s">
        <v>55</v>
      </c>
      <c r="AY19" s="360">
        <v>406.89380107188322</v>
      </c>
      <c r="AZ19" s="359">
        <v>2.3733035758753691</v>
      </c>
      <c r="BA19" s="357">
        <v>0.21998321602755874</v>
      </c>
      <c r="BB19" s="357">
        <v>0.18217709228466653</v>
      </c>
      <c r="BC19" s="360">
        <v>42.31527123242298</v>
      </c>
      <c r="BD19" s="358"/>
      <c r="BE19" s="358"/>
      <c r="BF19" s="357">
        <v>0.11545426940517502</v>
      </c>
      <c r="BG19" s="358" t="s">
        <v>239</v>
      </c>
      <c r="BH19" s="1406">
        <v>1.7536647060604053E-3</v>
      </c>
      <c r="BI19" s="360"/>
      <c r="BJ19" s="1406">
        <v>1.3654080212972433E-3</v>
      </c>
      <c r="BK19" s="359">
        <v>1.0075498110811314</v>
      </c>
      <c r="BL19" s="357"/>
      <c r="BM19" s="357"/>
      <c r="BN19" s="354"/>
      <c r="BO19" s="356">
        <v>49.473999023437493</v>
      </c>
      <c r="BP19" s="355">
        <v>4.9192226798941734</v>
      </c>
      <c r="BQ19" s="354"/>
      <c r="BR19" s="353" t="s">
        <v>350</v>
      </c>
    </row>
    <row r="20" spans="1:70" ht="17">
      <c r="A20" s="407" t="s">
        <v>270</v>
      </c>
      <c r="B20" s="407" t="s">
        <v>435</v>
      </c>
      <c r="C20" s="1447">
        <f>AVERAGE($BB$23,$BB$24,$BB$25)</f>
        <v>294.1508595171652</v>
      </c>
      <c r="D20" s="404">
        <f>STDEV($BB$23,$BB$24,$BB$25)</f>
        <v>7.4819722363556931</v>
      </c>
      <c r="E20" s="1447">
        <v>14.963944472711386</v>
      </c>
      <c r="F20" s="803">
        <f>AVERAGE($BB$19,$BB$20,$BB$21,$BB$22)</f>
        <v>0.88950711401575611</v>
      </c>
      <c r="G20" s="803">
        <f>STDEV($BB$19,$BB$20,$BB$21,$BB$22)</f>
        <v>1.0003157098057629</v>
      </c>
      <c r="H20" s="803">
        <v>2.0006314196115258</v>
      </c>
      <c r="I20" s="1447">
        <f>AVERAGE($BB$15:$BB$18)</f>
        <v>52.689594696213561</v>
      </c>
      <c r="J20" s="404">
        <f>STDEV($BB$15:$BB$18)</f>
        <v>6.4485051749800837</v>
      </c>
      <c r="K20" s="1447">
        <v>12.897010349960167</v>
      </c>
      <c r="L20" s="1322">
        <v>5.5827125111346474</v>
      </c>
      <c r="M20" s="790">
        <v>0.69784986949119177</v>
      </c>
      <c r="N20" s="876">
        <v>1.3956997389823835</v>
      </c>
      <c r="O20" s="404">
        <v>0.54</v>
      </c>
      <c r="P20" s="404">
        <v>-0.70699999999999996</v>
      </c>
      <c r="Q20" s="779">
        <v>0.43097660813587801</v>
      </c>
      <c r="R20" s="790">
        <f t="shared" si="0"/>
        <v>0.24260300314896086</v>
      </c>
      <c r="S20" s="790">
        <v>1.2733387395614146</v>
      </c>
      <c r="T20" s="790">
        <v>1.7898014914513694</v>
      </c>
      <c r="U20" s="790">
        <v>0.19650838042762375</v>
      </c>
      <c r="V20" s="790">
        <v>0.31995437146233097</v>
      </c>
      <c r="W20" s="856">
        <f t="shared" si="3"/>
        <v>1.4698471199890384</v>
      </c>
      <c r="X20" s="404">
        <f t="shared" si="1"/>
        <v>3.7981586215417296</v>
      </c>
      <c r="Y20" s="404">
        <f t="shared" si="2"/>
        <v>0.47477717920513801</v>
      </c>
      <c r="Z20" s="404"/>
      <c r="AA20" s="857">
        <v>330.68972117513027</v>
      </c>
      <c r="AB20" s="406">
        <v>371.97985440965994</v>
      </c>
      <c r="AC20" s="571">
        <v>743.95970881931987</v>
      </c>
      <c r="AD20" s="404"/>
      <c r="AE20" s="868">
        <v>1.6882026121937104E-2</v>
      </c>
      <c r="AF20" s="571">
        <v>1.9097168528541993E-2</v>
      </c>
      <c r="AG20" s="862">
        <v>3.8194337057083985E-2</v>
      </c>
      <c r="AH20" s="407" t="s">
        <v>435</v>
      </c>
      <c r="AJ20" s="362" t="s">
        <v>346</v>
      </c>
      <c r="AK20" s="360">
        <v>578.76964881671142</v>
      </c>
      <c r="AL20" s="359">
        <v>4.7113924939150778</v>
      </c>
      <c r="AM20" s="360" t="s">
        <v>431</v>
      </c>
      <c r="AN20" s="361">
        <v>621500</v>
      </c>
      <c r="AO20" s="360">
        <v>148.35621222812742</v>
      </c>
      <c r="AP20" s="360">
        <v>17804.967253171344</v>
      </c>
      <c r="AQ20" s="360">
        <v>17622.273690565955</v>
      </c>
      <c r="AR20" s="360">
        <v>169.95489828950073</v>
      </c>
      <c r="AS20" s="360">
        <v>28.131723826665638</v>
      </c>
      <c r="AT20" s="360">
        <v>15.021360121972311</v>
      </c>
      <c r="AU20" s="437" t="s">
        <v>120</v>
      </c>
      <c r="AV20" s="436">
        <v>10.242720513999558</v>
      </c>
      <c r="AW20" s="358" t="s">
        <v>430</v>
      </c>
      <c r="AX20" s="358" t="s">
        <v>429</v>
      </c>
      <c r="AY20" s="360">
        <v>422.66420216784167</v>
      </c>
      <c r="AZ20" s="359">
        <v>2.2955219480073814</v>
      </c>
      <c r="BA20" s="358" t="s">
        <v>194</v>
      </c>
      <c r="BB20" s="358" t="s">
        <v>285</v>
      </c>
      <c r="BC20" s="360">
        <v>44.677971271175075</v>
      </c>
      <c r="BD20" s="358"/>
      <c r="BE20" s="358"/>
      <c r="BF20" s="357">
        <v>0.10006784992917266</v>
      </c>
      <c r="BG20" s="358" t="s">
        <v>185</v>
      </c>
      <c r="BH20" s="358" t="s">
        <v>56</v>
      </c>
      <c r="BI20" s="358" t="s">
        <v>49</v>
      </c>
      <c r="BJ20" s="358" t="s">
        <v>116</v>
      </c>
      <c r="BK20" s="359">
        <v>1.2329534638861297</v>
      </c>
      <c r="BL20" s="357"/>
      <c r="BM20" s="357"/>
      <c r="BN20" s="354"/>
      <c r="BO20" s="356">
        <v>35.981998443603501</v>
      </c>
      <c r="BP20" s="355">
        <v>4.9921676353115894</v>
      </c>
      <c r="BQ20" s="354"/>
      <c r="BR20" s="353" t="s">
        <v>343</v>
      </c>
    </row>
    <row r="21" spans="1:70" ht="17">
      <c r="A21" s="407" t="s">
        <v>270</v>
      </c>
      <c r="B21" s="407" t="s">
        <v>18</v>
      </c>
      <c r="C21" s="406" t="e">
        <f>AVERAGE($BC$23,$BC$24,$BC$25)</f>
        <v>#DIV/0!</v>
      </c>
      <c r="D21" s="406" t="e">
        <f>STDEV($BC$23,$BC$24,$BC$25)</f>
        <v>#DIV/0!</v>
      </c>
      <c r="E21" s="406" t="e">
        <v>#DIV/0!</v>
      </c>
      <c r="F21" s="1452">
        <f>AVERAGE($BC$19,$BC$20,$BC$21,$BC$22)</f>
        <v>58.886909825591061</v>
      </c>
      <c r="G21" s="806">
        <f>STDEV($BC$19,$BC$20,$BC$21,$BC$22)</f>
        <v>28.006327793187214</v>
      </c>
      <c r="H21" s="1452">
        <v>56.012655586374429</v>
      </c>
      <c r="I21" s="1447">
        <f>AVERAGE($BC$15:$BC$18)</f>
        <v>5778.7572737452247</v>
      </c>
      <c r="J21" s="404">
        <f>STDEV($BC$15:$BC$18)</f>
        <v>1939.3215918944425</v>
      </c>
      <c r="K21" s="1447">
        <v>3878.6431837888849</v>
      </c>
      <c r="L21" s="1323" t="e">
        <v>#DIV/0!</v>
      </c>
      <c r="M21" s="571" t="e">
        <v>#DIV/0!</v>
      </c>
      <c r="N21" s="862" t="e">
        <v>#DIV/0!</v>
      </c>
      <c r="O21" s="404">
        <v>0.15</v>
      </c>
      <c r="P21" s="404">
        <v>2.88</v>
      </c>
      <c r="Q21" s="779">
        <v>0.43097660813587801</v>
      </c>
      <c r="R21" s="790">
        <f t="shared" si="0"/>
        <v>0.24260300314896086</v>
      </c>
      <c r="S21" s="790">
        <f>O21*(((1-(2*C47))/(1-C47))^P21)</f>
        <v>1.1380739653760576E-3</v>
      </c>
      <c r="T21" s="790">
        <f>O21*(((1-(2*C46))/(1-C46))^P21)</f>
        <v>4.5550101003976693E-3</v>
      </c>
      <c r="U21" s="790">
        <v>1.4005141132493138E-3</v>
      </c>
      <c r="V21" s="790">
        <v>2.0164220217722979E-3</v>
      </c>
      <c r="W21" s="1366">
        <f t="shared" si="3"/>
        <v>2.5385880786253714E-3</v>
      </c>
      <c r="X21" s="404" t="e">
        <f t="shared" si="1"/>
        <v>#DIV/0!</v>
      </c>
      <c r="Y21" s="404" t="e">
        <f t="shared" si="2"/>
        <v>#DIV/0!</v>
      </c>
      <c r="Z21" s="404"/>
      <c r="AA21" s="857" t="e">
        <v>#DIV/0!</v>
      </c>
      <c r="AB21" s="406" t="e">
        <v>#DIV/0!</v>
      </c>
      <c r="AC21" s="571" t="e">
        <v>#DIV/0!</v>
      </c>
      <c r="AD21" s="404"/>
      <c r="AE21" s="868">
        <v>1.0190237630006276E-2</v>
      </c>
      <c r="AF21" s="571">
        <v>5.931512131850376E-3</v>
      </c>
      <c r="AG21" s="862">
        <v>1.1863024263700752E-2</v>
      </c>
      <c r="AH21" s="407" t="s">
        <v>18</v>
      </c>
      <c r="AJ21" s="362" t="s">
        <v>342</v>
      </c>
      <c r="AK21" s="360">
        <v>651.11747352796056</v>
      </c>
      <c r="AL21" s="359">
        <v>4.3375451197148083</v>
      </c>
      <c r="AM21" s="360" t="s">
        <v>427</v>
      </c>
      <c r="AN21" s="361">
        <v>621500</v>
      </c>
      <c r="AO21" s="360">
        <v>158.89917100549278</v>
      </c>
      <c r="AP21" s="360">
        <v>18764.161332681</v>
      </c>
      <c r="AQ21" s="360">
        <v>17469.104288641378</v>
      </c>
      <c r="AR21" s="360">
        <v>175.36362375460112</v>
      </c>
      <c r="AS21" s="360">
        <v>27.973723065985627</v>
      </c>
      <c r="AT21" s="360">
        <v>14.114707549529486</v>
      </c>
      <c r="AU21" s="437" t="s">
        <v>180</v>
      </c>
      <c r="AV21" s="436">
        <v>11.531578997905219</v>
      </c>
      <c r="AW21" s="358" t="s">
        <v>426</v>
      </c>
      <c r="AX21" s="358" t="s">
        <v>127</v>
      </c>
      <c r="AY21" s="360">
        <v>426.00785904146187</v>
      </c>
      <c r="AZ21" s="359">
        <v>2.5078100600155695</v>
      </c>
      <c r="BA21" s="357">
        <v>0.23846063960887465</v>
      </c>
      <c r="BB21" s="358" t="s">
        <v>120</v>
      </c>
      <c r="BC21" s="360">
        <v>47.792975887636452</v>
      </c>
      <c r="BD21" s="358"/>
      <c r="BE21" s="358"/>
      <c r="BF21" s="357">
        <v>0.18247604933350298</v>
      </c>
      <c r="BG21" s="358" t="s">
        <v>167</v>
      </c>
      <c r="BH21" s="358" t="s">
        <v>49</v>
      </c>
      <c r="BI21" s="358" t="s">
        <v>167</v>
      </c>
      <c r="BJ21" s="358" t="s">
        <v>120</v>
      </c>
      <c r="BK21" s="359">
        <v>1.2675194502545788</v>
      </c>
      <c r="BL21" s="357"/>
      <c r="BM21" s="357"/>
      <c r="BN21" s="354"/>
      <c r="BO21" s="356">
        <v>17.347997665405298</v>
      </c>
      <c r="BP21" s="355">
        <v>5.2737897522663424</v>
      </c>
      <c r="BQ21" s="354"/>
      <c r="BR21" s="353" t="s">
        <v>340</v>
      </c>
    </row>
    <row r="22" spans="1:70" ht="17">
      <c r="A22" s="435" t="s">
        <v>391</v>
      </c>
      <c r="B22" s="435" t="s">
        <v>428</v>
      </c>
      <c r="C22" s="1448">
        <f>AVERAGE($BD$58,$BD$59,$BD$60)</f>
        <v>3262.1459791346074</v>
      </c>
      <c r="D22" s="433">
        <f>STDEV($BD$58,$BD$59,$BD$60)</f>
        <v>760.45751133036742</v>
      </c>
      <c r="E22" s="1448">
        <v>1520.9150226607348</v>
      </c>
      <c r="F22" s="406">
        <f>AVERAGE($BD$54,$BD$55,$BD$56,$BD$57)</f>
        <v>52.936170725971699</v>
      </c>
      <c r="G22" s="406" t="e">
        <f>STDEV($BD$54,$BD$55,$BD$56,$BD$57)</f>
        <v>#DIV/0!</v>
      </c>
      <c r="H22" s="406" t="e">
        <v>#DIV/0!</v>
      </c>
      <c r="I22" s="1448">
        <f>AVERAGE($BD$50:$BD$53)</f>
        <v>760.51492763053659</v>
      </c>
      <c r="J22" s="433">
        <f>STDEV($BD$50:$BD$53)</f>
        <v>240.34955900290481</v>
      </c>
      <c r="K22" s="1448">
        <v>480.69911800580962</v>
      </c>
      <c r="L22" s="930">
        <v>4.2893911225360988</v>
      </c>
      <c r="M22" s="570">
        <v>1.6844873472880104</v>
      </c>
      <c r="N22" s="879">
        <v>3.3689746945760208</v>
      </c>
      <c r="O22" s="433">
        <v>0.13</v>
      </c>
      <c r="P22" s="433">
        <v>-0.84</v>
      </c>
      <c r="Q22" s="778">
        <v>0.43097660813587801</v>
      </c>
      <c r="R22" s="570">
        <f t="shared" si="0"/>
        <v>0.24260300314896086</v>
      </c>
      <c r="S22" s="570" cm="1">
        <f t="array" ref="S22:S29">O22:O29*(((1-(2*C46))/(1-C46))^P22:P29)</f>
        <v>0.36022781521994834</v>
      </c>
      <c r="T22" s="570" cm="1">
        <f t="array" ref="T22:T29">O22:O29*(((1-(2*C47))/(1-C47))^P22:P29)</f>
        <v>0.53982572543182672</v>
      </c>
      <c r="U22" s="570">
        <v>6.6971519108245281E-2</v>
      </c>
      <c r="V22" s="570">
        <v>0.11262639110363309</v>
      </c>
      <c r="W22" s="888">
        <f t="shared" si="3"/>
        <v>0.42719933432819363</v>
      </c>
      <c r="X22" s="433">
        <f t="shared" si="1"/>
        <v>10.04072520216241</v>
      </c>
      <c r="Y22" s="433">
        <f t="shared" si="2"/>
        <v>3.9430945039673491</v>
      </c>
      <c r="Z22" s="433"/>
      <c r="AA22" s="857">
        <v>61.624139683645907</v>
      </c>
      <c r="AB22" s="406" t="e">
        <v>#DIV/0!</v>
      </c>
      <c r="AC22" s="571" t="e">
        <v>#DIV/0!</v>
      </c>
      <c r="AD22" s="433"/>
      <c r="AE22" s="868">
        <v>6.9605695828877212E-2</v>
      </c>
      <c r="AF22" s="571" t="e">
        <v>#DIV/0!</v>
      </c>
      <c r="AG22" s="862" t="e">
        <v>#DIV/0!</v>
      </c>
      <c r="AH22" s="435" t="s">
        <v>428</v>
      </c>
      <c r="AJ22" s="362" t="s">
        <v>332</v>
      </c>
      <c r="AK22" s="360">
        <v>941.14882717952889</v>
      </c>
      <c r="AL22" s="360">
        <v>36.166537264716588</v>
      </c>
      <c r="AM22" s="357" t="s">
        <v>418</v>
      </c>
      <c r="AN22" s="361">
        <v>621500</v>
      </c>
      <c r="AO22" s="360">
        <v>143.90353829394473</v>
      </c>
      <c r="AP22" s="360">
        <v>19562.067738571768</v>
      </c>
      <c r="AQ22" s="360">
        <v>20215.949440617242</v>
      </c>
      <c r="AR22" s="360">
        <v>181.34652773607064</v>
      </c>
      <c r="AS22" s="360">
        <v>28.33943130265002</v>
      </c>
      <c r="AT22" s="360">
        <v>19.323967798523643</v>
      </c>
      <c r="AU22" s="360">
        <v>13.05447930687137</v>
      </c>
      <c r="AV22" s="360">
        <v>10.11993170090995</v>
      </c>
      <c r="AW22" s="358" t="s">
        <v>417</v>
      </c>
      <c r="AX22" s="1407">
        <v>3.2140832921787168</v>
      </c>
      <c r="AY22" s="360">
        <v>360.15858734913968</v>
      </c>
      <c r="AZ22" s="359">
        <v>2.4774962372832139</v>
      </c>
      <c r="BA22" s="359">
        <v>1.9245113620804513</v>
      </c>
      <c r="BB22" s="359">
        <v>1.5968371357468456</v>
      </c>
      <c r="BC22" s="1407">
        <v>100.76142091112975</v>
      </c>
      <c r="BD22" s="360"/>
      <c r="BE22" s="360"/>
      <c r="BF22" s="359">
        <v>2.1760750127532584</v>
      </c>
      <c r="BG22" s="357">
        <v>0.18486434685809353</v>
      </c>
      <c r="BH22" s="359">
        <v>7.8230287363021498</v>
      </c>
      <c r="BI22" s="357">
        <v>0.44947702709064974</v>
      </c>
      <c r="BJ22" s="359">
        <v>3.068558067513842</v>
      </c>
      <c r="BK22" s="359">
        <v>4.5744377490477843</v>
      </c>
      <c r="BL22" s="357"/>
      <c r="BM22" s="357"/>
      <c r="BN22" s="354"/>
      <c r="BO22" s="356">
        <v>47.5469970703125</v>
      </c>
      <c r="BP22" s="355">
        <v>2.1975037617333077</v>
      </c>
      <c r="BQ22" s="354"/>
      <c r="BR22" s="353" t="s">
        <v>331</v>
      </c>
    </row>
    <row r="23" spans="1:70" ht="17">
      <c r="A23" s="435" t="s">
        <v>391</v>
      </c>
      <c r="B23" s="435" t="s">
        <v>20</v>
      </c>
      <c r="C23" s="1448">
        <f>AVERAGE($BE$58,$BE$59,$BE$60)</f>
        <v>2609.5180837251387</v>
      </c>
      <c r="D23" s="433">
        <f>STDEV($BE$58,$BE$59,$BE$60)</f>
        <v>180.47960741645699</v>
      </c>
      <c r="E23" s="1448">
        <v>360.95921483291397</v>
      </c>
      <c r="F23" s="406">
        <f>AVERAGE($BE$54,$BE$55,$BE$56,$BE$57)</f>
        <v>26.153847780194695</v>
      </c>
      <c r="G23" s="406" t="e">
        <f>STDEV($BE$54,$BE$55,$BE$56,$BE$57)</f>
        <v>#DIV/0!</v>
      </c>
      <c r="H23" s="406" t="e">
        <v>#DIV/0!</v>
      </c>
      <c r="I23" s="1448">
        <f>AVERAGE($BE$50:$BE$53)</f>
        <v>1307.203863787995</v>
      </c>
      <c r="J23" s="433">
        <f>STDEV($BE$50:$BE$53)</f>
        <v>406.98983736721488</v>
      </c>
      <c r="K23" s="1448">
        <v>813.97967473442975</v>
      </c>
      <c r="L23" s="930">
        <v>1.9962594634346611</v>
      </c>
      <c r="M23" s="570">
        <v>0.636673335111542</v>
      </c>
      <c r="N23" s="879">
        <v>1.273346670223084</v>
      </c>
      <c r="O23" s="433">
        <v>0.12</v>
      </c>
      <c r="P23" s="433">
        <v>-0.61</v>
      </c>
      <c r="Q23" s="778">
        <v>0.43097660813587801</v>
      </c>
      <c r="R23" s="570">
        <f t="shared" si="0"/>
        <v>0.24260300314896086</v>
      </c>
      <c r="S23" s="570">
        <v>0.25154620098309921</v>
      </c>
      <c r="T23" s="570">
        <v>0.33743664359178366</v>
      </c>
      <c r="U23" s="570">
        <v>3.3158462342550044E-2</v>
      </c>
      <c r="V23" s="570">
        <v>5.2731980266134404E-2</v>
      </c>
      <c r="W23" s="888">
        <f t="shared" si="3"/>
        <v>0.28470466332564925</v>
      </c>
      <c r="X23" s="433">
        <f t="shared" si="1"/>
        <v>7.0116851621475238</v>
      </c>
      <c r="Y23" s="433">
        <f t="shared" si="2"/>
        <v>2.2362588925468563</v>
      </c>
      <c r="Z23" s="433">
        <f>C23/AVERAGE(BE57)</f>
        <v>99.77568523210671</v>
      </c>
      <c r="AA23" s="857">
        <v>99.77568523210671</v>
      </c>
      <c r="AB23" s="406" t="e">
        <v>#DIV/0!</v>
      </c>
      <c r="AC23" s="571" t="e">
        <v>#DIV/0!</v>
      </c>
      <c r="AD23" s="778">
        <f>AVERAGE(BE57)/I23</f>
        <v>2.0007474354005107E-2</v>
      </c>
      <c r="AE23" s="868">
        <v>2.0007474354005107E-2</v>
      </c>
      <c r="AF23" s="571" t="e">
        <v>#DIV/0!</v>
      </c>
      <c r="AG23" s="862" t="e">
        <v>#DIV/0!</v>
      </c>
      <c r="AH23" s="435" t="s">
        <v>20</v>
      </c>
      <c r="AJ23" s="959" t="s">
        <v>349</v>
      </c>
      <c r="AK23" s="960" t="s">
        <v>434</v>
      </c>
      <c r="AL23" s="961" t="s">
        <v>433</v>
      </c>
      <c r="AM23" s="962">
        <v>-4.011058779889594</v>
      </c>
      <c r="AN23" s="963">
        <v>571100</v>
      </c>
      <c r="AO23" s="960">
        <v>1285.7196983097922</v>
      </c>
      <c r="AP23" s="960">
        <v>357283.14388610137</v>
      </c>
      <c r="AQ23" s="960">
        <v>390448.91632174497</v>
      </c>
      <c r="AR23" s="960">
        <v>222.68511671468295</v>
      </c>
      <c r="AS23" s="960">
        <v>23.775897431917809</v>
      </c>
      <c r="AT23" s="960">
        <v>10.492917870724835</v>
      </c>
      <c r="AU23" s="960">
        <v>288.91487546900254</v>
      </c>
      <c r="AV23" s="960">
        <v>1570.8071944876947</v>
      </c>
      <c r="AW23" s="960">
        <v>1684.2696885714972</v>
      </c>
      <c r="AX23" s="960">
        <v>716.42513817034262</v>
      </c>
      <c r="AY23" s="960">
        <v>361.86023448176144</v>
      </c>
      <c r="AZ23" s="960">
        <v>1543.4361222025098</v>
      </c>
      <c r="BA23" s="960">
        <v>809.99703117035858</v>
      </c>
      <c r="BB23" s="960">
        <v>291.31614871001369</v>
      </c>
      <c r="BC23" s="964" t="s">
        <v>432</v>
      </c>
      <c r="BD23" s="960"/>
      <c r="BE23" s="960"/>
      <c r="BF23" s="960">
        <v>21.632415682678033</v>
      </c>
      <c r="BG23" s="960">
        <v>74.335333613619795</v>
      </c>
      <c r="BH23" s="960">
        <v>87.329240843095405</v>
      </c>
      <c r="BI23" s="960">
        <v>152.80334164150784</v>
      </c>
      <c r="BJ23" s="960">
        <v>671.89558364123138</v>
      </c>
      <c r="BK23" s="960">
        <v>942.33818519045792</v>
      </c>
      <c r="BL23" s="965"/>
      <c r="BM23" s="965"/>
      <c r="BN23" s="966"/>
      <c r="BO23" s="967">
        <v>46.261997222900398</v>
      </c>
      <c r="BP23" s="968">
        <v>0.61669511702881641</v>
      </c>
      <c r="BQ23" s="966"/>
      <c r="BR23" s="969" t="s">
        <v>347</v>
      </c>
    </row>
    <row r="24" spans="1:70" ht="17">
      <c r="A24" s="407" t="s">
        <v>270</v>
      </c>
      <c r="B24" s="407" t="s">
        <v>422</v>
      </c>
      <c r="C24" s="1447">
        <f>AVERAGE($BF$23,$BF$24,$BF$25)</f>
        <v>46.257124531373471</v>
      </c>
      <c r="D24" s="404">
        <f>STDEV($BF$23,$BF$24,$BF$25)</f>
        <v>21.357921876181845</v>
      </c>
      <c r="E24" s="1447">
        <v>42.715843752363689</v>
      </c>
      <c r="F24" s="406">
        <f>AVERAGE($BF$19,$BF$20,$BF$21,$BF$22)</f>
        <v>0.64351829535527727</v>
      </c>
      <c r="G24" s="406">
        <f>STDEV($BF$19,$BF$20,$BF$21,$BF$22)</f>
        <v>1.0223306782046173</v>
      </c>
      <c r="H24" s="406">
        <v>2.0446613564092346</v>
      </c>
      <c r="I24" s="404">
        <f>AVERAGE($BF$15:$BF$18)</f>
        <v>0.92528101632659132</v>
      </c>
      <c r="J24" s="404">
        <f>STDEV($BF$15:$BF$18)</f>
        <v>0.26750420377307749</v>
      </c>
      <c r="K24" s="404">
        <v>0.53500840754615497</v>
      </c>
      <c r="L24" s="1323">
        <v>49.992514398508256</v>
      </c>
      <c r="M24" s="571">
        <v>27.234186792099738</v>
      </c>
      <c r="N24" s="862">
        <v>54.468373584199476</v>
      </c>
      <c r="O24" s="404">
        <v>0.95</v>
      </c>
      <c r="P24" s="404">
        <v>-3.88</v>
      </c>
      <c r="Q24" s="779">
        <v>0.43097660813587801</v>
      </c>
      <c r="R24" s="790">
        <f t="shared" si="0"/>
        <v>0.24260300314896086</v>
      </c>
      <c r="S24" s="790">
        <v>105.26176049871026</v>
      </c>
      <c r="T24" s="790">
        <v>681.91144049541583</v>
      </c>
      <c r="U24" s="790">
        <v>126.11857979768837</v>
      </c>
      <c r="V24" s="790">
        <v>450.5311001990172</v>
      </c>
      <c r="W24" s="856">
        <f t="shared" si="3"/>
        <v>231.38034029639863</v>
      </c>
      <c r="X24" s="404">
        <f t="shared" si="1"/>
        <v>0.21606206618275242</v>
      </c>
      <c r="Y24" s="404">
        <f t="shared" si="2"/>
        <v>0.11770311495441961</v>
      </c>
      <c r="Z24" s="404"/>
      <c r="AA24" s="857">
        <v>71.881599738878549</v>
      </c>
      <c r="AB24" s="406">
        <v>118.92054542395157</v>
      </c>
      <c r="AC24" s="571">
        <v>237.84109084790313</v>
      </c>
      <c r="AD24" s="404"/>
      <c r="AE24" s="868">
        <v>0.69548416535127333</v>
      </c>
      <c r="AF24" s="571">
        <v>1.1230330216382369</v>
      </c>
      <c r="AG24" s="862">
        <v>2.2460660432764739</v>
      </c>
      <c r="AH24" s="407" t="s">
        <v>422</v>
      </c>
      <c r="AJ24" s="959" t="s">
        <v>339</v>
      </c>
      <c r="AK24" s="965" t="s">
        <v>425</v>
      </c>
      <c r="AL24" s="964" t="s">
        <v>424</v>
      </c>
      <c r="AM24" s="965">
        <v>-60.155162257513496</v>
      </c>
      <c r="AN24" s="963">
        <v>571100</v>
      </c>
      <c r="AO24" s="960">
        <v>1244.4436742601722</v>
      </c>
      <c r="AP24" s="960">
        <v>421481.37223983253</v>
      </c>
      <c r="AQ24" s="960">
        <v>414863.51852538844</v>
      </c>
      <c r="AR24" s="960">
        <v>248.28230547941212</v>
      </c>
      <c r="AS24" s="960">
        <v>52.490310997475611</v>
      </c>
      <c r="AT24" s="960">
        <v>24.614192521106219</v>
      </c>
      <c r="AU24" s="960">
        <v>262.06136530090419</v>
      </c>
      <c r="AV24" s="960">
        <v>706.0516023285569</v>
      </c>
      <c r="AW24" s="960">
        <v>775.48732166206241</v>
      </c>
      <c r="AX24" s="960">
        <v>714.73870785096176</v>
      </c>
      <c r="AY24" s="960">
        <v>411.77781660067956</v>
      </c>
      <c r="AZ24" s="960">
        <v>776.51675100315094</v>
      </c>
      <c r="BA24" s="960">
        <v>564.26463591619552</v>
      </c>
      <c r="BB24" s="960">
        <v>288.50045576203576</v>
      </c>
      <c r="BC24" s="964" t="s">
        <v>423</v>
      </c>
      <c r="BD24" s="960"/>
      <c r="BE24" s="960"/>
      <c r="BF24" s="960">
        <v>59.743622242046541</v>
      </c>
      <c r="BG24" s="960">
        <v>60.902776417304594</v>
      </c>
      <c r="BH24" s="960">
        <v>107.60370217673984</v>
      </c>
      <c r="BI24" s="960">
        <v>148.97519060930105</v>
      </c>
      <c r="BJ24" s="960">
        <v>453.73088810817353</v>
      </c>
      <c r="BK24" s="960">
        <v>902.98186899771952</v>
      </c>
      <c r="BL24" s="965"/>
      <c r="BM24" s="965"/>
      <c r="BN24" s="966"/>
      <c r="BO24" s="967">
        <v>43.048999786376896</v>
      </c>
      <c r="BP24" s="968">
        <v>0.17007655514415015</v>
      </c>
      <c r="BQ24" s="966"/>
      <c r="BR24" s="969" t="s">
        <v>336</v>
      </c>
    </row>
    <row r="25" spans="1:70" ht="18" thickBot="1">
      <c r="A25" s="407" t="s">
        <v>270</v>
      </c>
      <c r="B25" s="407" t="s">
        <v>22</v>
      </c>
      <c r="C25" s="1553">
        <f>AVERAGE($BG$23,$BG$24,$BG$25)</f>
        <v>47.386680349793352</v>
      </c>
      <c r="D25" s="406">
        <f>STDEV($BG$23,$BG$24,$BG$25)</f>
        <v>35.681302555316897</v>
      </c>
      <c r="E25" s="1553">
        <v>71.362605110633794</v>
      </c>
      <c r="F25" s="1374">
        <f>AVERAGE($BG$19,$BG$20,$BG$21,$BG$22)</f>
        <v>0.18486434685809353</v>
      </c>
      <c r="G25" s="1374" t="e">
        <f>STDEV($BG$19,$BG$20,$BG$21,$BG$22)</f>
        <v>#DIV/0!</v>
      </c>
      <c r="H25" s="1374" t="e">
        <v>#DIV/0!</v>
      </c>
      <c r="I25" s="404">
        <f>AVERAGE($BG$15:$BG$18)</f>
        <v>0.25344162751085131</v>
      </c>
      <c r="J25" s="404">
        <f>STDEV($BG$15:$BG$18)</f>
        <v>8.7294406771806804E-2</v>
      </c>
      <c r="K25" s="404">
        <v>0.17458881354361361</v>
      </c>
      <c r="L25" s="1323">
        <v>186.97275903408746</v>
      </c>
      <c r="M25" s="571">
        <v>154.81723169126965</v>
      </c>
      <c r="N25" s="862">
        <v>309.63446338253931</v>
      </c>
      <c r="O25" s="404">
        <v>1.65</v>
      </c>
      <c r="P25" s="404">
        <v>-5.08</v>
      </c>
      <c r="Q25" s="779">
        <v>0.43097660813587801</v>
      </c>
      <c r="R25" s="790">
        <f t="shared" si="0"/>
        <v>0.24260300314896086</v>
      </c>
      <c r="S25" s="790">
        <v>784.08852731835509</v>
      </c>
      <c r="T25" s="790">
        <v>9052.919043851316</v>
      </c>
      <c r="U25" s="790">
        <v>1414.841385755695</v>
      </c>
      <c r="V25" s="790">
        <v>6853.9891307772659</v>
      </c>
      <c r="W25" s="856">
        <f t="shared" si="3"/>
        <v>2198.9299130740501</v>
      </c>
      <c r="X25" s="404">
        <f t="shared" si="1"/>
        <v>8.5028976104428958E-2</v>
      </c>
      <c r="Y25" s="404">
        <f t="shared" si="2"/>
        <v>7.0405714511764014E-2</v>
      </c>
      <c r="Z25" s="1476">
        <f>C25/AVERAGE(BG22)</f>
        <v>256.33217629664711</v>
      </c>
      <c r="AA25" s="1535">
        <v>256.33217629664711</v>
      </c>
      <c r="AB25" s="406" t="e">
        <v>#DIV/0!</v>
      </c>
      <c r="AC25" s="571" t="e">
        <v>#DIV/0!</v>
      </c>
      <c r="AD25" s="1532">
        <f>AVERAGE(BG22)/I25</f>
        <v>0.72941587644349548</v>
      </c>
      <c r="AE25" s="868">
        <v>0.72941587644349548</v>
      </c>
      <c r="AF25" s="571" t="e">
        <v>#DIV/0!</v>
      </c>
      <c r="AG25" s="862" t="e">
        <v>#DIV/0!</v>
      </c>
      <c r="AH25" s="407" t="s">
        <v>22</v>
      </c>
      <c r="AJ25" s="959" t="s">
        <v>335</v>
      </c>
      <c r="AK25" s="970" t="s">
        <v>421</v>
      </c>
      <c r="AL25" s="964" t="s">
        <v>420</v>
      </c>
      <c r="AM25" s="965">
        <v>-48.616473296461734</v>
      </c>
      <c r="AN25" s="963">
        <v>571100</v>
      </c>
      <c r="AO25" s="960">
        <v>1266.1316571463401</v>
      </c>
      <c r="AP25" s="960">
        <v>411307.18499686412</v>
      </c>
      <c r="AQ25" s="960">
        <v>419729.74327035178</v>
      </c>
      <c r="AR25" s="960">
        <v>249.14868805364571</v>
      </c>
      <c r="AS25" s="960">
        <v>48.709755058044244</v>
      </c>
      <c r="AT25" s="960">
        <v>27.885057266035144</v>
      </c>
      <c r="AU25" s="960">
        <v>252.80102296851513</v>
      </c>
      <c r="AV25" s="960">
        <v>361.09956630547532</v>
      </c>
      <c r="AW25" s="960">
        <v>384.61326409803621</v>
      </c>
      <c r="AX25" s="960">
        <v>621.68660966591347</v>
      </c>
      <c r="AY25" s="960">
        <v>388.8156023415263</v>
      </c>
      <c r="AZ25" s="960">
        <v>343.9933569653914</v>
      </c>
      <c r="BA25" s="960">
        <v>323.81580234021459</v>
      </c>
      <c r="BB25" s="960">
        <v>302.63597407944616</v>
      </c>
      <c r="BC25" s="964" t="s">
        <v>419</v>
      </c>
      <c r="BD25" s="960"/>
      <c r="BE25" s="960"/>
      <c r="BF25" s="960">
        <v>57.395335669395827</v>
      </c>
      <c r="BG25" s="970">
        <v>6.9219310184556555</v>
      </c>
      <c r="BH25" s="960">
        <v>52.497323540133571</v>
      </c>
      <c r="BI25" s="960">
        <v>1876.2821357855646</v>
      </c>
      <c r="BJ25" s="960">
        <v>222.34048758932684</v>
      </c>
      <c r="BK25" s="960">
        <v>878.60055742650854</v>
      </c>
      <c r="BL25" s="965"/>
      <c r="BM25" s="965"/>
      <c r="BN25" s="966"/>
      <c r="BO25" s="967">
        <v>45.620000839233398</v>
      </c>
      <c r="BP25" s="968">
        <v>0.20848618753315512</v>
      </c>
      <c r="BQ25" s="966"/>
      <c r="BR25" s="969" t="s">
        <v>333</v>
      </c>
    </row>
    <row r="26" spans="1:70" ht="17">
      <c r="A26" s="407" t="s">
        <v>270</v>
      </c>
      <c r="B26" s="407" t="s">
        <v>23</v>
      </c>
      <c r="C26" s="1447">
        <f>AVERAGE($BH$23,$BH$24,$BH$25)</f>
        <v>82.476755519989609</v>
      </c>
      <c r="D26" s="404">
        <f>STDEV($BH$23,$BH$24,$BH$25)</f>
        <v>27.871817342406509</v>
      </c>
      <c r="E26" s="1447">
        <v>55.743634684813017</v>
      </c>
      <c r="F26" s="1553">
        <f>AVERAGE($BH$19,$BH$20,$BH$21,$BH$22)</f>
        <v>3.9123912005041053</v>
      </c>
      <c r="G26" s="406">
        <f>STDEV($BH$19,$BH$20,$BH$21,$BH$22)</f>
        <v>5.5304766406508943</v>
      </c>
      <c r="H26" s="1553">
        <v>11.060953281301789</v>
      </c>
      <c r="I26" s="404">
        <f>AVERAGE($BH$15:$BH$18)</f>
        <v>9.6160968059723365E-2</v>
      </c>
      <c r="J26" s="404">
        <f>STDEV($BH$15:$BH$18)</f>
        <v>2.4702568549875983E-2</v>
      </c>
      <c r="K26" s="404">
        <v>4.9405137099751965E-2</v>
      </c>
      <c r="L26" s="1324">
        <v>857.69472982806485</v>
      </c>
      <c r="M26" s="749">
        <v>364.0827083467081</v>
      </c>
      <c r="N26" s="861">
        <v>728.1654166934162</v>
      </c>
      <c r="O26" s="404">
        <v>1.71</v>
      </c>
      <c r="P26" s="404">
        <v>-5.34</v>
      </c>
      <c r="Q26" s="779">
        <v>0.43097660813587801</v>
      </c>
      <c r="R26" s="790">
        <f t="shared" si="0"/>
        <v>0.24260300314896086</v>
      </c>
      <c r="S26" s="790">
        <v>1113.9943648310555</v>
      </c>
      <c r="T26" s="790">
        <v>14577.482847935917</v>
      </c>
      <c r="U26" s="790">
        <v>2179.4516462739939</v>
      </c>
      <c r="V26" s="790">
        <v>11284.036836830866</v>
      </c>
      <c r="W26" s="856">
        <f t="shared" si="3"/>
        <v>3293.4460111050494</v>
      </c>
      <c r="X26" s="404">
        <f t="shared" si="1"/>
        <v>0.26042471227280956</v>
      </c>
      <c r="Y26" s="404">
        <f t="shared" si="2"/>
        <v>0.11054764739396698</v>
      </c>
      <c r="Z26" s="1477">
        <f>C26/AVERAGE(BH19,BH22)</f>
        <v>21.080907121292629</v>
      </c>
      <c r="AA26" s="1535">
        <v>21.080907121292629</v>
      </c>
      <c r="AB26" s="406">
        <v>30.639253366817329</v>
      </c>
      <c r="AC26" s="571">
        <v>61.278506733634657</v>
      </c>
      <c r="AD26" s="1477">
        <f>AVERAGE(BH19, BH22)/I26</f>
        <v>40.685854972614344</v>
      </c>
      <c r="AE26" s="868">
        <v>40.685854972614344</v>
      </c>
      <c r="AF26" s="571">
        <v>58.454668529453365</v>
      </c>
      <c r="AG26" s="862">
        <v>116.90933705890673</v>
      </c>
      <c r="AH26" s="407" t="s">
        <v>23</v>
      </c>
      <c r="AJ26" s="432" t="s">
        <v>86</v>
      </c>
      <c r="AK26" s="428" t="s">
        <v>416</v>
      </c>
      <c r="AL26" s="427">
        <v>21.250291567746334</v>
      </c>
      <c r="AM26" s="427">
        <v>13.606368837061408</v>
      </c>
      <c r="AN26" s="431">
        <v>937000</v>
      </c>
      <c r="AO26" s="427">
        <v>4457.3498899871092</v>
      </c>
      <c r="AP26" s="427">
        <v>53473.789867159823</v>
      </c>
      <c r="AQ26" s="427">
        <v>52823.567686603063</v>
      </c>
      <c r="AR26" s="427">
        <v>139.85036976013347</v>
      </c>
      <c r="AS26" s="430" t="s">
        <v>415</v>
      </c>
      <c r="AT26" s="429" t="s">
        <v>414</v>
      </c>
      <c r="AU26" s="427">
        <v>55.566320670931347</v>
      </c>
      <c r="AV26" s="427">
        <v>170.84417794176809</v>
      </c>
      <c r="AW26" s="427">
        <v>173.06162288383777</v>
      </c>
      <c r="AX26" s="428">
        <v>4.4528833716230336</v>
      </c>
      <c r="AY26" s="428">
        <v>6.0007814690923276</v>
      </c>
      <c r="AZ26" s="427">
        <v>18.660669634679408</v>
      </c>
      <c r="BA26" s="428">
        <v>2.0395890511704078</v>
      </c>
      <c r="BB26" s="428">
        <v>1.4949366096863048</v>
      </c>
      <c r="BC26" s="425">
        <v>0.28838326730522396</v>
      </c>
      <c r="BD26" s="426"/>
      <c r="BE26" s="428"/>
      <c r="BF26" s="428">
        <v>2.8163276297567421</v>
      </c>
      <c r="BG26" s="428">
        <v>1.0910061899720829</v>
      </c>
      <c r="BH26" s="428">
        <v>9.1684466618843281</v>
      </c>
      <c r="BI26" s="427">
        <v>14.717268425932909</v>
      </c>
      <c r="BJ26" s="427">
        <v>28.489895609480996</v>
      </c>
      <c r="BK26" s="426">
        <v>0.6153795017252548</v>
      </c>
      <c r="BL26" s="425"/>
      <c r="BM26" s="425"/>
      <c r="BN26" s="422"/>
      <c r="BO26" s="424">
        <v>46.904996871948299</v>
      </c>
      <c r="BP26" s="423">
        <v>0.92198082917854463</v>
      </c>
      <c r="BQ26" s="422"/>
      <c r="BR26" s="421" t="s">
        <v>328</v>
      </c>
    </row>
    <row r="27" spans="1:70" ht="18" thickBot="1">
      <c r="A27" s="407" t="s">
        <v>270</v>
      </c>
      <c r="B27" s="407" t="s">
        <v>24</v>
      </c>
      <c r="C27" s="1553">
        <f>AVERAGE($BI$23,$BI$24,$BI$25)</f>
        <v>726.02022267879113</v>
      </c>
      <c r="D27" s="406">
        <f>STDEV($BI$23,$BI$24,$BI$25)</f>
        <v>996.15787666570316</v>
      </c>
      <c r="E27" s="1553">
        <v>1992.3157533314063</v>
      </c>
      <c r="F27" s="406">
        <f>AVERAGE($BI$19,$BI$20,$BI$21,$BI$22)</f>
        <v>0.44947702709064974</v>
      </c>
      <c r="G27" s="406" t="e">
        <f>STDEV($BI$19,$BI$20,$BI$21,$BI$22)</f>
        <v>#DIV/0!</v>
      </c>
      <c r="H27" s="406" t="e">
        <v>#DIV/0!</v>
      </c>
      <c r="I27" s="404">
        <f>AVERAGE($BI$15:$BI$18)</f>
        <v>0.22902427930326064</v>
      </c>
      <c r="J27" s="404">
        <f>STDEV($BI$15:$BI$18)</f>
        <v>5.7149027176533522E-2</v>
      </c>
      <c r="K27" s="404">
        <v>0.11429805435306704</v>
      </c>
      <c r="L27" s="1323">
        <v>3170.057885947705</v>
      </c>
      <c r="M27" s="571">
        <v>4420.9184922698023</v>
      </c>
      <c r="N27" s="862">
        <v>8841.8369845396046</v>
      </c>
      <c r="O27" s="404">
        <v>1.49</v>
      </c>
      <c r="P27" s="404">
        <v>-5.04</v>
      </c>
      <c r="Q27" s="779">
        <v>0.43097660813587801</v>
      </c>
      <c r="R27" s="790">
        <f t="shared" si="0"/>
        <v>0.24260300314896086</v>
      </c>
      <c r="S27" s="790">
        <v>674.51190484956237</v>
      </c>
      <c r="T27" s="790">
        <v>7639.1953654092686</v>
      </c>
      <c r="U27" s="790">
        <v>1201.8195464725841</v>
      </c>
      <c r="V27" s="790">
        <v>5762.8639140871219</v>
      </c>
      <c r="W27" s="856">
        <f>O27*((R27)^P27)</f>
        <v>1876.3314513221464</v>
      </c>
      <c r="X27" s="404">
        <f t="shared" si="1"/>
        <v>1.6894978143195019</v>
      </c>
      <c r="Y27" s="404">
        <f t="shared" si="2"/>
        <v>2.3561500763389258</v>
      </c>
      <c r="Z27" s="404">
        <f>C27/AVERAGE(BI22)</f>
        <v>1615.2554611703629</v>
      </c>
      <c r="AA27" s="857">
        <v>1615.2554611703629</v>
      </c>
      <c r="AB27" s="406" t="e">
        <v>#DIV/0!</v>
      </c>
      <c r="AC27" s="571" t="e">
        <v>#DIV/0!</v>
      </c>
      <c r="AD27" s="404"/>
      <c r="AE27" s="868">
        <v>1.9625736994263319</v>
      </c>
      <c r="AF27" s="571" t="e">
        <v>#DIV/0!</v>
      </c>
      <c r="AG27" s="862" t="e">
        <v>#DIV/0!</v>
      </c>
      <c r="AH27" s="407" t="s">
        <v>24</v>
      </c>
      <c r="AJ27" s="420" t="s">
        <v>88</v>
      </c>
      <c r="AK27" s="415" t="s">
        <v>413</v>
      </c>
      <c r="AL27" s="414">
        <v>24.744625098032952</v>
      </c>
      <c r="AM27" s="415">
        <v>6.4502685589238702</v>
      </c>
      <c r="AN27" s="419">
        <v>937000</v>
      </c>
      <c r="AO27" s="414">
        <v>4742.33737386141</v>
      </c>
      <c r="AP27" s="414">
        <v>56519.971275873722</v>
      </c>
      <c r="AQ27" s="414">
        <v>57174.309933866425</v>
      </c>
      <c r="AR27" s="414">
        <v>150.12779810673817</v>
      </c>
      <c r="AS27" s="418" t="s">
        <v>199</v>
      </c>
      <c r="AT27" s="417" t="s">
        <v>412</v>
      </c>
      <c r="AU27" s="414">
        <v>60.429096808589627</v>
      </c>
      <c r="AV27" s="414">
        <v>183.14511366466814</v>
      </c>
      <c r="AW27" s="414">
        <v>180.91946862408921</v>
      </c>
      <c r="AX27" s="415">
        <v>4.1479888497669393</v>
      </c>
      <c r="AY27" s="415">
        <v>6.8001981229347166</v>
      </c>
      <c r="AZ27" s="414">
        <v>21.331752185774935</v>
      </c>
      <c r="BA27" s="415">
        <v>2.1602349933123235</v>
      </c>
      <c r="BB27" s="415">
        <v>1.3654796378826084</v>
      </c>
      <c r="BC27" s="416" t="s">
        <v>411</v>
      </c>
      <c r="BD27" s="415"/>
      <c r="BE27" s="416"/>
      <c r="BF27" s="415">
        <v>2.8836318186774172</v>
      </c>
      <c r="BG27" s="415">
        <v>1.1891405607643126</v>
      </c>
      <c r="BH27" s="415">
        <v>9.7109204674148177</v>
      </c>
      <c r="BI27" s="414">
        <v>15.481567647302761</v>
      </c>
      <c r="BJ27" s="414">
        <v>31.705702391121186</v>
      </c>
      <c r="BK27" s="413">
        <v>0.70448538880433287</v>
      </c>
      <c r="BL27" s="413"/>
      <c r="BM27" s="413"/>
      <c r="BN27" s="410"/>
      <c r="BO27" s="412">
        <v>37.909000396728494</v>
      </c>
      <c r="BP27" s="411">
        <v>0.90237168486794395</v>
      </c>
      <c r="BQ27" s="410"/>
      <c r="BR27" s="409" t="s">
        <v>324</v>
      </c>
    </row>
    <row r="28" spans="1:70" ht="17">
      <c r="A28" s="407" t="s">
        <v>270</v>
      </c>
      <c r="B28" s="407" t="s">
        <v>25</v>
      </c>
      <c r="C28" s="1553">
        <f>AVERAGE($BJ$23,$BJ$24,$BJ$25)</f>
        <v>449.3223197795773</v>
      </c>
      <c r="D28" s="406">
        <f>STDEV($BJ$23,$BJ$24,$BJ$25)</f>
        <v>224.80997020281396</v>
      </c>
      <c r="E28" s="1553">
        <v>449.61994040562791</v>
      </c>
      <c r="F28" s="1553">
        <f>AVERAGE($BJ$19,$BJ$20,$BJ$21,$BJ$22)</f>
        <v>1.5349617377675695</v>
      </c>
      <c r="G28" s="406">
        <f>STDEV($BJ$19,$BJ$20,$BJ$21,$BJ$22)</f>
        <v>2.16883272873278</v>
      </c>
      <c r="H28" s="1553">
        <v>4.33766545746556</v>
      </c>
      <c r="I28" s="404">
        <f>AVERAGE($BJ$15:$BJ$18)</f>
        <v>1.4819835121239771</v>
      </c>
      <c r="J28" s="404">
        <f>STDEV($BJ$15:$BJ$18)</f>
        <v>0.55555422783948127</v>
      </c>
      <c r="K28" s="404">
        <v>1.1111084556789625</v>
      </c>
      <c r="L28" s="1323">
        <v>303.18982370836841</v>
      </c>
      <c r="M28" s="571">
        <v>189.55072001358695</v>
      </c>
      <c r="N28" s="862">
        <v>379.10144002717391</v>
      </c>
      <c r="O28" s="404">
        <v>0.95</v>
      </c>
      <c r="P28" s="404">
        <v>-4.2</v>
      </c>
      <c r="Q28" s="779">
        <v>0.43097660813587801</v>
      </c>
      <c r="R28" s="790">
        <f t="shared" si="0"/>
        <v>0.24260300314896086</v>
      </c>
      <c r="S28" s="790">
        <v>155.2004814904902</v>
      </c>
      <c r="T28" s="790">
        <v>1172.9371155367987</v>
      </c>
      <c r="U28" s="790">
        <v>208.84838253514883</v>
      </c>
      <c r="V28" s="790">
        <v>808.88825151115975</v>
      </c>
      <c r="W28" s="856">
        <f t="shared" si="3"/>
        <v>364.04886402563903</v>
      </c>
      <c r="X28" s="404">
        <f t="shared" si="1"/>
        <v>0.83282727586540561</v>
      </c>
      <c r="Y28" s="404">
        <f t="shared" si="2"/>
        <v>0.52067384009262385</v>
      </c>
      <c r="Z28" s="1477">
        <f>C28/AVERAGE(BJ19,BJ22)</f>
        <v>292.72542026556732</v>
      </c>
      <c r="AA28" s="1535">
        <v>292.72542026556732</v>
      </c>
      <c r="AB28" s="406">
        <v>438.77331091572086</v>
      </c>
      <c r="AC28" s="571">
        <v>877.54662183144171</v>
      </c>
      <c r="AD28" s="1533">
        <f>AVERAGE(BJ19, BJ22)/I28</f>
        <v>1.0357481882964163</v>
      </c>
      <c r="AE28" s="868">
        <v>1.0357481882964163</v>
      </c>
      <c r="AF28" s="571">
        <v>1.5140968247438713</v>
      </c>
      <c r="AG28" s="862">
        <v>3.0281936494877426</v>
      </c>
      <c r="AH28" s="407" t="s">
        <v>25</v>
      </c>
      <c r="AJ28" s="396" t="s">
        <v>410</v>
      </c>
      <c r="AK28" s="400" t="s">
        <v>409</v>
      </c>
      <c r="AL28" s="401">
        <v>105.63563306072177</v>
      </c>
      <c r="AM28" s="402">
        <v>5.8355588912394758</v>
      </c>
      <c r="AN28" s="408">
        <v>830000</v>
      </c>
      <c r="AO28" s="401">
        <v>8014.9723120566077</v>
      </c>
      <c r="AP28" s="401">
        <v>165685.53063493676</v>
      </c>
      <c r="AQ28" s="401">
        <v>170008.04577116651</v>
      </c>
      <c r="AR28" s="402">
        <v>2.0277531336694481</v>
      </c>
      <c r="AS28" s="403" t="s">
        <v>408</v>
      </c>
      <c r="AT28" s="403" t="s">
        <v>407</v>
      </c>
      <c r="AU28" s="403" t="s">
        <v>72</v>
      </c>
      <c r="AV28" s="403" t="s">
        <v>406</v>
      </c>
      <c r="AW28" s="403" t="s">
        <v>405</v>
      </c>
      <c r="AX28" s="403" t="s">
        <v>404</v>
      </c>
      <c r="AY28" s="401">
        <v>27.125070388972567</v>
      </c>
      <c r="AZ28" s="401">
        <v>26.037118640520692</v>
      </c>
      <c r="BA28" s="402">
        <v>2.9774521651410466</v>
      </c>
      <c r="BB28" s="402">
        <v>5.0652017398901776</v>
      </c>
      <c r="BC28" s="403" t="s">
        <v>403</v>
      </c>
      <c r="BD28" s="403"/>
      <c r="BE28" s="403"/>
      <c r="BF28" s="402">
        <v>3.0559426137464727</v>
      </c>
      <c r="BG28" s="402">
        <v>3.0263085518741004</v>
      </c>
      <c r="BH28" s="401">
        <v>40.272529499285938</v>
      </c>
      <c r="BI28" s="401">
        <v>26.531302070743955</v>
      </c>
      <c r="BJ28" s="401">
        <v>30.32608026276829</v>
      </c>
      <c r="BK28" s="403" t="s">
        <v>402</v>
      </c>
      <c r="BL28" s="400"/>
      <c r="BM28" s="400"/>
      <c r="BN28" s="398"/>
      <c r="BO28" s="394">
        <v>46.904996871948299</v>
      </c>
      <c r="BP28" s="399">
        <v>0.81599639294844717</v>
      </c>
      <c r="BQ28" s="398"/>
      <c r="BR28" s="398" t="s">
        <v>321</v>
      </c>
    </row>
    <row r="29" spans="1:70" ht="18" thickBot="1">
      <c r="A29" s="407" t="s">
        <v>270</v>
      </c>
      <c r="B29" s="407" t="s">
        <v>26</v>
      </c>
      <c r="C29" s="1447">
        <f>AVERAGE($BK$23,$BK$24,$BK$25)</f>
        <v>907.97353720489536</v>
      </c>
      <c r="D29" s="404">
        <f>STDEV($BK$23,$BK$24,$BK$25)</f>
        <v>32.160672596540017</v>
      </c>
      <c r="E29" s="1447">
        <v>64.321345193080035</v>
      </c>
      <c r="F29" s="406">
        <f>AVERAGE($BK$19,$BK$20,$BK$21,$BK$22)</f>
        <v>2.0206151185674059</v>
      </c>
      <c r="G29" s="406">
        <f>STDEV($BK$19,$BK$20,$BK$21,$BK$22)</f>
        <v>1.706446142628276</v>
      </c>
      <c r="H29" s="406">
        <v>3.412892285256552</v>
      </c>
      <c r="I29" s="1447">
        <f>AVERAGE($BK$15:$BK$18)</f>
        <v>62.558864238506615</v>
      </c>
      <c r="J29" s="404">
        <f>STDEV($BK$15:$BK$18)</f>
        <v>11.003069270346527</v>
      </c>
      <c r="K29" s="1447">
        <v>22.006138540693055</v>
      </c>
      <c r="L29" s="1324">
        <v>14.51390699395105</v>
      </c>
      <c r="M29" s="749">
        <v>2.6040063096432702</v>
      </c>
      <c r="N29" s="861">
        <v>5.2080126192865404</v>
      </c>
      <c r="O29" s="404">
        <v>0.37</v>
      </c>
      <c r="P29" s="404">
        <v>-1.72</v>
      </c>
      <c r="Q29" s="779">
        <v>0.43097660813587801</v>
      </c>
      <c r="R29" s="790">
        <f t="shared" si="0"/>
        <v>0.24260300314896086</v>
      </c>
      <c r="S29" s="790">
        <v>2.9822724189163412</v>
      </c>
      <c r="T29" s="790">
        <v>6.8275598775618951</v>
      </c>
      <c r="U29" s="790">
        <v>1.2461688920027654</v>
      </c>
      <c r="V29" s="790">
        <v>2.5991185666427885</v>
      </c>
      <c r="W29" s="1367">
        <f t="shared" si="3"/>
        <v>4.2284413109191066</v>
      </c>
      <c r="X29" s="404">
        <f t="shared" si="1"/>
        <v>3.4324484902916303</v>
      </c>
      <c r="Y29" s="404">
        <f t="shared" si="2"/>
        <v>0.61583125274056494</v>
      </c>
      <c r="Z29" s="404"/>
      <c r="AA29" s="857">
        <v>449.35501514441734</v>
      </c>
      <c r="AB29" s="406">
        <v>379.82209512634228</v>
      </c>
      <c r="AC29" s="571">
        <v>759.64419025268455</v>
      </c>
      <c r="AD29" s="404"/>
      <c r="AE29" s="868">
        <v>3.2299421403556502E-2</v>
      </c>
      <c r="AF29" s="571">
        <v>2.7862737814791188E-2</v>
      </c>
      <c r="AG29" s="862">
        <v>5.5725475629582376E-2</v>
      </c>
      <c r="AH29" s="407" t="s">
        <v>26</v>
      </c>
      <c r="AJ29" s="396" t="s">
        <v>401</v>
      </c>
      <c r="AK29" s="400" t="s">
        <v>400</v>
      </c>
      <c r="AL29" s="401">
        <v>106.48012680010582</v>
      </c>
      <c r="AM29" s="402">
        <v>2.7654856333480904</v>
      </c>
      <c r="AN29" s="324">
        <v>830000</v>
      </c>
      <c r="AO29" s="401">
        <v>8088.9971722115088</v>
      </c>
      <c r="AP29" s="401">
        <v>163364.34148994906</v>
      </c>
      <c r="AQ29" s="401">
        <v>167958.22597153657</v>
      </c>
      <c r="AR29" s="402">
        <v>1.5009112287514548</v>
      </c>
      <c r="AS29" s="403" t="s">
        <v>399</v>
      </c>
      <c r="AT29" s="403" t="s">
        <v>398</v>
      </c>
      <c r="AU29" s="403" t="s">
        <v>397</v>
      </c>
      <c r="AV29" s="402"/>
      <c r="AW29" s="403" t="s">
        <v>396</v>
      </c>
      <c r="AX29" s="403" t="s">
        <v>395</v>
      </c>
      <c r="AY29" s="401">
        <v>28.209528284850112</v>
      </c>
      <c r="AZ29" s="401">
        <v>26.382749878652049</v>
      </c>
      <c r="BA29" s="402">
        <v>3.0291517938859398</v>
      </c>
      <c r="BB29" s="402">
        <v>5.7409822609368906</v>
      </c>
      <c r="BC29" s="400">
        <v>0.57908228598322309</v>
      </c>
      <c r="BD29" s="403"/>
      <c r="BE29" s="403"/>
      <c r="BF29" s="402">
        <v>3.289208712748954</v>
      </c>
      <c r="BG29" s="402">
        <v>2.8227531153350598</v>
      </c>
      <c r="BH29" s="401">
        <v>39.666987178952716</v>
      </c>
      <c r="BI29" s="401">
        <v>26.300948896883597</v>
      </c>
      <c r="BJ29" s="401">
        <v>29.160142061492031</v>
      </c>
      <c r="BK29" s="400">
        <v>0.1875968631023551</v>
      </c>
      <c r="BL29" s="400"/>
      <c r="BM29" s="400"/>
      <c r="BN29" s="398"/>
      <c r="BO29" s="394">
        <v>47.5469970703125</v>
      </c>
      <c r="BP29" s="399">
        <v>0.83816883003833953</v>
      </c>
      <c r="BQ29" s="398"/>
      <c r="BR29" s="398" t="s">
        <v>318</v>
      </c>
    </row>
    <row r="30" spans="1:70" ht="17">
      <c r="A30" s="933" t="s">
        <v>1395</v>
      </c>
      <c r="B30" s="933" t="s">
        <v>6</v>
      </c>
      <c r="C30" s="382"/>
      <c r="D30" s="382"/>
      <c r="E30" s="382"/>
      <c r="F30" s="382"/>
      <c r="G30" s="382"/>
      <c r="H30" s="382"/>
      <c r="I30" s="382"/>
      <c r="J30" s="382"/>
      <c r="K30" s="382"/>
      <c r="L30" s="1325">
        <f>K35/E35</f>
        <v>1.1326996318020641</v>
      </c>
      <c r="M30" s="386">
        <f>L30*SQRT((L35/K35)^2 + (F35/E35)^2)</f>
        <v>2.5472995893897975E-2</v>
      </c>
      <c r="N30" s="975">
        <f>2*M30</f>
        <v>5.094599178779595E-2</v>
      </c>
      <c r="P30" s="382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974">
        <f>K35/H35</f>
        <v>0.91897281751076254</v>
      </c>
      <c r="AB30" s="386">
        <f>AA30*SQRT((L35/K35)^2 + (I35/H35)^2)</f>
        <v>1.1030385397046307E-2</v>
      </c>
      <c r="AC30" s="975">
        <f>2*AB30</f>
        <v>2.2060770794092615E-2</v>
      </c>
      <c r="AD30" s="386"/>
      <c r="AE30" s="974">
        <f>H35/E35</f>
        <v>1.2325714212855905</v>
      </c>
      <c r="AF30" s="386">
        <f>AE30*SQRT((F35/E35)^2 + (I35/H35)^2)</f>
        <v>2.4423208373095959E-2</v>
      </c>
      <c r="AG30" s="975">
        <f>2*AF30</f>
        <v>4.8846416746191917E-2</v>
      </c>
      <c r="AJ30" s="309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</row>
    <row r="31" spans="1:70" ht="17">
      <c r="A31" s="933" t="s">
        <v>1395</v>
      </c>
      <c r="B31" s="933" t="s">
        <v>8</v>
      </c>
      <c r="C31" s="382"/>
      <c r="D31" s="382"/>
      <c r="E31" s="382"/>
      <c r="F31" s="382"/>
      <c r="G31" s="382"/>
      <c r="H31" s="382"/>
      <c r="I31" s="382"/>
      <c r="J31" s="382"/>
      <c r="K31" s="382"/>
      <c r="L31" s="1329">
        <f>K36/E36</f>
        <v>2.2469323243786046</v>
      </c>
      <c r="M31" s="972">
        <f>L31*SQRT((L36/K36)^2 + (F36/E36)^2)</f>
        <v>0.21157494964594398</v>
      </c>
      <c r="N31" s="973">
        <f>2*M31</f>
        <v>0.42314989929188795</v>
      </c>
      <c r="P31" s="382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1481">
        <f>K36/H36</f>
        <v>24.902439988927114</v>
      </c>
      <c r="AB31" s="972">
        <f>AA31*SQRT((L36/K36)^2 + (I36/H36)^2)</f>
        <v>0.79872346721963927</v>
      </c>
      <c r="AC31" s="1494">
        <f>2*AB31</f>
        <v>1.5974469344392785</v>
      </c>
      <c r="AD31" s="1489"/>
      <c r="AE31" s="971">
        <f>H36/E36</f>
        <v>9.0229404242223032E-2</v>
      </c>
      <c r="AF31" s="1486">
        <f>AE31*SQRT((F36/E36)^2 + (I36/H36)^2)</f>
        <v>8.7687739928629885E-3</v>
      </c>
      <c r="AG31" s="973">
        <f>2*AF31</f>
        <v>1.7537547985725977E-2</v>
      </c>
      <c r="AJ31" s="309" t="s">
        <v>144</v>
      </c>
      <c r="AK31" s="310">
        <v>0.06</v>
      </c>
      <c r="AL31" s="311">
        <v>68</v>
      </c>
      <c r="AM31" s="308">
        <v>2.5</v>
      </c>
      <c r="AN31" s="311">
        <v>938000</v>
      </c>
      <c r="AO31" s="311">
        <v>4500</v>
      </c>
      <c r="AP31" s="311">
        <v>56500</v>
      </c>
      <c r="AQ31" s="311">
        <v>56500</v>
      </c>
      <c r="AR31" s="311">
        <v>135</v>
      </c>
      <c r="AS31" s="310">
        <v>0.25</v>
      </c>
      <c r="AT31" s="310">
        <v>0.25</v>
      </c>
      <c r="AU31" s="311">
        <v>59</v>
      </c>
      <c r="AV31" s="311">
        <v>181</v>
      </c>
      <c r="AW31" s="311">
        <v>181</v>
      </c>
      <c r="AX31" s="308">
        <v>4.7300000000000004</v>
      </c>
      <c r="AY31" s="308">
        <v>7.5</v>
      </c>
      <c r="AZ31" s="308">
        <v>16.5</v>
      </c>
      <c r="BA31" s="308">
        <v>2.2000000000000002</v>
      </c>
      <c r="BB31" s="308">
        <v>1.6</v>
      </c>
      <c r="BC31" s="308">
        <v>1</v>
      </c>
      <c r="BD31" s="308" t="s">
        <v>94</v>
      </c>
      <c r="BE31" s="308" t="s">
        <v>94</v>
      </c>
      <c r="BF31" s="308">
        <v>2.4300000000000002</v>
      </c>
      <c r="BG31" s="310">
        <v>0.17499999999999999</v>
      </c>
      <c r="BH31" s="308">
        <v>0.98</v>
      </c>
      <c r="BI31" s="308">
        <v>3.22</v>
      </c>
      <c r="BJ31" s="308">
        <v>24.1</v>
      </c>
      <c r="BK31" s="310">
        <v>0.61</v>
      </c>
      <c r="BL31" s="308" t="s">
        <v>94</v>
      </c>
      <c r="BM31" s="308" t="s">
        <v>94</v>
      </c>
      <c r="BN31" s="307"/>
      <c r="BO31" s="307"/>
      <c r="BP31" s="307"/>
      <c r="BQ31" s="307"/>
      <c r="BR31" s="307"/>
    </row>
    <row r="32" spans="1:70" ht="18" thickBot="1">
      <c r="C32" s="382"/>
      <c r="D32" s="382"/>
      <c r="E32" s="382"/>
      <c r="F32" s="382"/>
      <c r="G32" s="382"/>
      <c r="H32" s="382"/>
      <c r="R32" s="772"/>
      <c r="S32" s="772"/>
      <c r="T32" s="772"/>
      <c r="U32" s="772"/>
      <c r="V32" s="772"/>
      <c r="W32" s="772"/>
      <c r="X32" s="772"/>
      <c r="Y32" s="772"/>
      <c r="Z32" s="772"/>
      <c r="AA32" s="772"/>
      <c r="AB32" s="386"/>
      <c r="AJ32" s="396" t="s">
        <v>391</v>
      </c>
      <c r="AK32" s="393">
        <v>0.7</v>
      </c>
      <c r="AL32" s="395">
        <v>192</v>
      </c>
      <c r="AM32" s="395">
        <v>10</v>
      </c>
      <c r="AN32" s="395">
        <v>830000</v>
      </c>
      <c r="AO32" s="395">
        <v>7890</v>
      </c>
      <c r="AP32" s="395">
        <v>160000</v>
      </c>
      <c r="AQ32" s="395">
        <v>160000</v>
      </c>
      <c r="AR32" s="394">
        <v>2.15</v>
      </c>
      <c r="AS32" s="393">
        <v>0.4</v>
      </c>
      <c r="AT32" s="393">
        <v>0.4</v>
      </c>
      <c r="AU32" s="393">
        <v>0.192</v>
      </c>
      <c r="AV32" s="393">
        <v>4.9000000000000002E-2</v>
      </c>
      <c r="AW32" s="395">
        <v>4.9000000000000002E-2</v>
      </c>
      <c r="AX32" s="394">
        <v>0.48</v>
      </c>
      <c r="AY32" s="394">
        <v>24.6</v>
      </c>
      <c r="AZ32" s="394">
        <v>29.15</v>
      </c>
      <c r="BA32" s="394">
        <v>3.58</v>
      </c>
      <c r="BB32" s="394">
        <v>6.1980000000000004</v>
      </c>
      <c r="BC32" s="394">
        <v>0.1</v>
      </c>
      <c r="BD32" s="394">
        <v>0.6</v>
      </c>
      <c r="BE32" s="394">
        <v>0.19</v>
      </c>
      <c r="BF32" s="394">
        <v>3.1</v>
      </c>
      <c r="BG32" s="394">
        <v>2.73</v>
      </c>
      <c r="BH32" s="394">
        <v>39.22</v>
      </c>
      <c r="BI32" s="394">
        <v>27.6</v>
      </c>
      <c r="BJ32" s="394">
        <v>30.8</v>
      </c>
      <c r="BK32" s="393">
        <v>6.8000000000000005E-2</v>
      </c>
      <c r="BL32" s="308" t="s">
        <v>94</v>
      </c>
      <c r="BM32" s="308" t="s">
        <v>94</v>
      </c>
      <c r="BN32" s="307"/>
      <c r="BO32" s="307"/>
      <c r="BP32" s="307"/>
      <c r="BQ32" s="307"/>
      <c r="BR32" s="307"/>
    </row>
    <row r="33" spans="2:70" ht="18" thickBot="1">
      <c r="C33" s="382"/>
      <c r="D33" s="397" t="s">
        <v>394</v>
      </c>
      <c r="E33" s="755" t="s">
        <v>393</v>
      </c>
      <c r="F33" s="771" t="s">
        <v>392</v>
      </c>
      <c r="H33" s="771"/>
      <c r="I33" s="772"/>
      <c r="J33" s="762"/>
      <c r="K33" s="762"/>
      <c r="L33" s="755"/>
      <c r="M33" s="772"/>
      <c r="N33" s="772"/>
      <c r="R33" s="772"/>
      <c r="S33" s="772"/>
      <c r="T33" s="727" t="s">
        <v>387</v>
      </c>
      <c r="U33" s="391" t="s">
        <v>386</v>
      </c>
      <c r="V33" s="391" t="s">
        <v>385</v>
      </c>
      <c r="W33" s="390" t="s">
        <v>384</v>
      </c>
      <c r="AB33" s="386"/>
      <c r="AJ33" s="309"/>
      <c r="AK33" s="308" t="s">
        <v>94</v>
      </c>
      <c r="AL33" s="308" t="s">
        <v>94</v>
      </c>
      <c r="AM33" s="308" t="s">
        <v>94</v>
      </c>
      <c r="AN33" s="308" t="s">
        <v>94</v>
      </c>
      <c r="AO33" s="308" t="s">
        <v>94</v>
      </c>
      <c r="AP33" s="308" t="s">
        <v>94</v>
      </c>
      <c r="AQ33" s="308" t="s">
        <v>94</v>
      </c>
      <c r="AR33" s="308" t="s">
        <v>94</v>
      </c>
      <c r="AS33" s="308" t="s">
        <v>94</v>
      </c>
      <c r="AT33" s="308" t="s">
        <v>94</v>
      </c>
      <c r="AU33" s="308" t="s">
        <v>94</v>
      </c>
      <c r="AV33" s="308" t="s">
        <v>94</v>
      </c>
      <c r="AW33" s="308" t="s">
        <v>94</v>
      </c>
      <c r="AX33" s="308" t="s">
        <v>94</v>
      </c>
      <c r="AY33" s="308" t="s">
        <v>94</v>
      </c>
      <c r="AZ33" s="308" t="s">
        <v>94</v>
      </c>
      <c r="BA33" s="308" t="s">
        <v>94</v>
      </c>
      <c r="BB33" s="308" t="s">
        <v>94</v>
      </c>
      <c r="BC33" s="308" t="s">
        <v>94</v>
      </c>
      <c r="BD33" s="308" t="s">
        <v>94</v>
      </c>
      <c r="BE33" s="308" t="s">
        <v>94</v>
      </c>
      <c r="BF33" s="308" t="s">
        <v>94</v>
      </c>
      <c r="BG33" s="308" t="s">
        <v>94</v>
      </c>
      <c r="BH33" s="308" t="s">
        <v>94</v>
      </c>
      <c r="BI33" s="308" t="s">
        <v>94</v>
      </c>
      <c r="BJ33" s="308" t="s">
        <v>94</v>
      </c>
      <c r="BK33" s="308" t="s">
        <v>94</v>
      </c>
      <c r="BL33" s="308" t="s">
        <v>94</v>
      </c>
      <c r="BM33" s="308" t="s">
        <v>94</v>
      </c>
      <c r="BN33" s="307"/>
      <c r="BO33" s="307"/>
      <c r="BP33" s="307"/>
      <c r="BQ33" s="307"/>
      <c r="BR33" s="307"/>
    </row>
    <row r="34" spans="2:70" ht="35" thickBot="1">
      <c r="D34" s="763"/>
      <c r="E34" s="746" t="s">
        <v>390</v>
      </c>
      <c r="F34" s="757" t="s">
        <v>1346</v>
      </c>
      <c r="G34" s="1411" t="s">
        <v>1416</v>
      </c>
      <c r="H34" s="746" t="s">
        <v>389</v>
      </c>
      <c r="I34" s="812" t="s">
        <v>1347</v>
      </c>
      <c r="J34" s="1411" t="s">
        <v>1417</v>
      </c>
      <c r="K34" s="746" t="s">
        <v>388</v>
      </c>
      <c r="L34" s="757" t="s">
        <v>1348</v>
      </c>
      <c r="M34" s="1420" t="s">
        <v>1418</v>
      </c>
      <c r="R34" s="772"/>
      <c r="S34" s="772"/>
      <c r="T34" s="389"/>
      <c r="U34" s="388" t="s">
        <v>383</v>
      </c>
      <c r="V34" s="388" t="s">
        <v>382</v>
      </c>
      <c r="W34" s="387" t="s">
        <v>381</v>
      </c>
      <c r="AB34" s="386"/>
      <c r="AJ34" s="309"/>
      <c r="AK34" s="308" t="s">
        <v>94</v>
      </c>
      <c r="AL34" s="308" t="s">
        <v>94</v>
      </c>
      <c r="AM34" s="308" t="s">
        <v>94</v>
      </c>
      <c r="AN34" s="308" t="s">
        <v>94</v>
      </c>
      <c r="AO34" s="308" t="s">
        <v>94</v>
      </c>
      <c r="AP34" s="308" t="s">
        <v>94</v>
      </c>
      <c r="AQ34" s="308" t="s">
        <v>94</v>
      </c>
      <c r="AR34" s="308" t="s">
        <v>94</v>
      </c>
      <c r="AS34" s="308" t="s">
        <v>94</v>
      </c>
      <c r="AT34" s="308" t="s">
        <v>94</v>
      </c>
      <c r="AU34" s="308" t="s">
        <v>94</v>
      </c>
      <c r="AV34" s="308" t="s">
        <v>94</v>
      </c>
      <c r="AW34" s="308" t="s">
        <v>94</v>
      </c>
      <c r="AX34" s="308" t="s">
        <v>94</v>
      </c>
      <c r="AY34" s="308" t="s">
        <v>94</v>
      </c>
      <c r="AZ34" s="308" t="s">
        <v>94</v>
      </c>
      <c r="BA34" s="308" t="s">
        <v>94</v>
      </c>
      <c r="BB34" s="308" t="s">
        <v>94</v>
      </c>
      <c r="BC34" s="308" t="s">
        <v>94</v>
      </c>
      <c r="BD34" s="308" t="s">
        <v>94</v>
      </c>
      <c r="BE34" s="308" t="s">
        <v>94</v>
      </c>
      <c r="BF34" s="308" t="s">
        <v>94</v>
      </c>
      <c r="BG34" s="308" t="s">
        <v>94</v>
      </c>
      <c r="BH34" s="308" t="s">
        <v>94</v>
      </c>
      <c r="BI34" s="308" t="s">
        <v>94</v>
      </c>
      <c r="BJ34" s="308" t="s">
        <v>94</v>
      </c>
      <c r="BK34" s="308" t="s">
        <v>94</v>
      </c>
      <c r="BL34" s="308" t="s">
        <v>94</v>
      </c>
      <c r="BM34" s="308" t="s">
        <v>94</v>
      </c>
      <c r="BN34" s="307"/>
      <c r="BO34" s="307"/>
      <c r="BP34" s="307"/>
      <c r="BQ34" s="307"/>
      <c r="BR34" s="307"/>
    </row>
    <row r="35" spans="2:70">
      <c r="D35" s="764" t="s">
        <v>6</v>
      </c>
      <c r="E35" s="1413">
        <v>50.41930952380951</v>
      </c>
      <c r="F35" s="755">
        <v>0.97916123670953381</v>
      </c>
      <c r="G35" s="1418" cm="1">
        <f t="array" ref="G35:G37">2*F35:F37</f>
        <v>1.9583224734190676</v>
      </c>
      <c r="H35" s="1413">
        <v>62.145399999999995</v>
      </c>
      <c r="I35" s="755">
        <v>0.24448920513710118</v>
      </c>
      <c r="J35" s="1418" cm="1">
        <f t="array" ref="J35:J37">2*I35:I37</f>
        <v>0.48897841027420236</v>
      </c>
      <c r="K35" s="1413">
        <v>57.109933333333338</v>
      </c>
      <c r="L35" s="755">
        <v>0.6476208620422762</v>
      </c>
      <c r="M35" s="1421" cm="1">
        <f t="array" ref="M35:M37">2*L35:L37</f>
        <v>1.2952417240845524</v>
      </c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</row>
    <row r="36" spans="2:70" ht="19">
      <c r="D36" s="764" t="s">
        <v>8</v>
      </c>
      <c r="E36" s="1413">
        <v>18.683488095238097</v>
      </c>
      <c r="F36" s="755">
        <v>1.73677230682457</v>
      </c>
      <c r="G36" s="1418">
        <v>3.4735446136491399</v>
      </c>
      <c r="H36" s="725">
        <v>1.6858</v>
      </c>
      <c r="I36" s="755">
        <v>4.7784037980420663E-2</v>
      </c>
      <c r="J36" s="755">
        <v>9.5568075960841326E-2</v>
      </c>
      <c r="K36" s="1413">
        <v>41.980533333333327</v>
      </c>
      <c r="L36" s="755">
        <v>0.63013874511510415</v>
      </c>
      <c r="M36" s="1421">
        <v>1.2602774902302083</v>
      </c>
      <c r="T36" s="762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J36" s="1064" t="s">
        <v>1397</v>
      </c>
      <c r="AK36" s="381" t="s">
        <v>0</v>
      </c>
      <c r="AL36" s="307"/>
      <c r="AM36" s="307"/>
      <c r="AN36" s="373"/>
      <c r="AO36" s="373"/>
      <c r="AP36" s="307"/>
      <c r="AQ36" s="307"/>
      <c r="AR36" s="307"/>
      <c r="AS36" s="307"/>
      <c r="AT36" s="307"/>
      <c r="AU36" s="307"/>
      <c r="AV36" s="307"/>
      <c r="AW36" s="373"/>
      <c r="AX36" s="373"/>
      <c r="AY36" s="373"/>
      <c r="AZ36" s="373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</row>
    <row r="37" spans="2:70" ht="18" thickBot="1">
      <c r="D37" s="766" t="s">
        <v>380</v>
      </c>
      <c r="E37" s="1415">
        <v>29.652226190476199</v>
      </c>
      <c r="F37" s="756">
        <v>1.0758366952121945</v>
      </c>
      <c r="G37" s="1419">
        <v>2.151673390424389</v>
      </c>
      <c r="H37" s="1415">
        <v>36.105400000000003</v>
      </c>
      <c r="I37" s="756">
        <v>0.15911128181244769</v>
      </c>
      <c r="J37" s="1419">
        <v>0.31822256362489537</v>
      </c>
      <c r="K37" s="726">
        <v>2.5333333333333333E-2</v>
      </c>
      <c r="L37" s="1410">
        <v>1.2116498001053098E-2</v>
      </c>
      <c r="M37" s="767">
        <v>2.4232996002106197E-2</v>
      </c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J37" s="380"/>
      <c r="AK37" s="307" t="s">
        <v>378</v>
      </c>
      <c r="AL37" s="307"/>
      <c r="AM37" s="307"/>
      <c r="AN37" s="307"/>
      <c r="AO37" s="373"/>
      <c r="AP37" s="307"/>
      <c r="AQ37" s="307"/>
      <c r="AR37" s="307"/>
      <c r="AS37" s="307"/>
      <c r="AT37" s="379"/>
      <c r="AU37" s="378">
        <v>43697.666631944441</v>
      </c>
      <c r="AV37" s="307"/>
      <c r="AW37" s="379"/>
      <c r="AX37" s="378"/>
      <c r="AY37" s="373"/>
      <c r="AZ37" s="373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</row>
    <row r="38" spans="2:70" ht="17">
      <c r="D38" s="762" t="s">
        <v>379</v>
      </c>
      <c r="E38" s="755">
        <f>SUM(E35:E37)</f>
        <v>98.755023809523806</v>
      </c>
      <c r="F38" s="762"/>
      <c r="G38" s="762"/>
      <c r="H38" s="755">
        <f>SUM(H35:H37)</f>
        <v>99.936599999999999</v>
      </c>
      <c r="I38" s="762"/>
      <c r="J38" s="762"/>
      <c r="K38" s="755">
        <f>SUM(K35:K37)</f>
        <v>99.115799999999993</v>
      </c>
      <c r="L38" s="762"/>
      <c r="M38" s="762"/>
      <c r="AJ38" s="309" t="s">
        <v>2</v>
      </c>
      <c r="AK38" s="375" t="s">
        <v>3</v>
      </c>
      <c r="AL38" s="375" t="s">
        <v>4</v>
      </c>
      <c r="AM38" s="375" t="s">
        <v>5</v>
      </c>
      <c r="AN38" s="377" t="s">
        <v>6</v>
      </c>
      <c r="AO38" s="375" t="s">
        <v>7</v>
      </c>
      <c r="AP38" s="375" t="s">
        <v>8</v>
      </c>
      <c r="AQ38" s="375" t="s">
        <v>8</v>
      </c>
      <c r="AR38" s="375" t="s">
        <v>9</v>
      </c>
      <c r="AS38" s="375" t="s">
        <v>10</v>
      </c>
      <c r="AT38" s="375" t="s">
        <v>10</v>
      </c>
      <c r="AU38" s="375" t="s">
        <v>11</v>
      </c>
      <c r="AV38" s="375" t="s">
        <v>12</v>
      </c>
      <c r="AW38" s="375" t="s">
        <v>12</v>
      </c>
      <c r="AX38" s="375" t="s">
        <v>13</v>
      </c>
      <c r="AY38" s="375" t="s">
        <v>14</v>
      </c>
      <c r="AZ38" s="375" t="s">
        <v>15</v>
      </c>
      <c r="BA38" s="375" t="s">
        <v>16</v>
      </c>
      <c r="BB38" s="375" t="s">
        <v>17</v>
      </c>
      <c r="BC38" s="375" t="s">
        <v>18</v>
      </c>
      <c r="BD38" s="375" t="s">
        <v>19</v>
      </c>
      <c r="BE38" s="375" t="s">
        <v>20</v>
      </c>
      <c r="BF38" s="375" t="s">
        <v>21</v>
      </c>
      <c r="BG38" s="375" t="s">
        <v>22</v>
      </c>
      <c r="BH38" s="375" t="s">
        <v>23</v>
      </c>
      <c r="BI38" s="375" t="s">
        <v>24</v>
      </c>
      <c r="BJ38" s="375" t="s">
        <v>25</v>
      </c>
      <c r="BK38" s="375" t="s">
        <v>26</v>
      </c>
      <c r="BL38" s="375" t="s">
        <v>27</v>
      </c>
      <c r="BM38" s="375" t="s">
        <v>28</v>
      </c>
      <c r="BN38" s="307"/>
      <c r="BO38" s="375" t="s">
        <v>29</v>
      </c>
      <c r="BP38" s="375" t="s">
        <v>30</v>
      </c>
      <c r="BQ38" s="375"/>
      <c r="BR38" s="375" t="s">
        <v>31</v>
      </c>
    </row>
    <row r="39" spans="2:70" ht="17">
      <c r="AJ39" s="309" t="s">
        <v>32</v>
      </c>
      <c r="AK39" s="307">
        <v>51</v>
      </c>
      <c r="AL39" s="307">
        <v>53</v>
      </c>
      <c r="AM39" s="307">
        <v>55</v>
      </c>
      <c r="AN39" s="370">
        <v>57</v>
      </c>
      <c r="AO39" s="307">
        <v>59</v>
      </c>
      <c r="AP39" s="307">
        <v>61</v>
      </c>
      <c r="AQ39" s="307">
        <v>62</v>
      </c>
      <c r="AR39" s="307">
        <v>63</v>
      </c>
      <c r="AS39" s="307">
        <v>66</v>
      </c>
      <c r="AT39" s="307">
        <v>67</v>
      </c>
      <c r="AU39" s="307">
        <v>69</v>
      </c>
      <c r="AV39" s="307">
        <v>72</v>
      </c>
      <c r="AW39" s="307">
        <v>73</v>
      </c>
      <c r="AX39" s="307">
        <v>75</v>
      </c>
      <c r="AY39" s="307">
        <v>95</v>
      </c>
      <c r="AZ39" s="307">
        <v>101</v>
      </c>
      <c r="BA39" s="307">
        <v>103</v>
      </c>
      <c r="BB39" s="307">
        <v>105</v>
      </c>
      <c r="BC39" s="307">
        <v>107</v>
      </c>
      <c r="BD39" s="307">
        <v>118</v>
      </c>
      <c r="BE39" s="307">
        <v>121</v>
      </c>
      <c r="BF39" s="307">
        <v>184</v>
      </c>
      <c r="BG39" s="307">
        <v>185</v>
      </c>
      <c r="BH39" s="307">
        <v>189</v>
      </c>
      <c r="BI39" s="307">
        <v>193</v>
      </c>
      <c r="BJ39" s="307">
        <v>195</v>
      </c>
      <c r="BK39" s="307">
        <v>197</v>
      </c>
      <c r="BL39" s="307">
        <v>208</v>
      </c>
      <c r="BM39" s="307">
        <v>209</v>
      </c>
      <c r="BN39" s="307"/>
      <c r="BO39" s="375" t="s">
        <v>33</v>
      </c>
      <c r="BP39" s="375" t="s">
        <v>34</v>
      </c>
      <c r="BQ39" s="307"/>
      <c r="BR39" s="307"/>
    </row>
    <row r="40" spans="2:70" ht="17">
      <c r="AJ40" s="309"/>
      <c r="AK40" s="375" t="s">
        <v>35</v>
      </c>
      <c r="AL40" s="375" t="s">
        <v>35</v>
      </c>
      <c r="AM40" s="375" t="s">
        <v>35</v>
      </c>
      <c r="AN40" s="376" t="s">
        <v>35</v>
      </c>
      <c r="AO40" s="375" t="s">
        <v>35</v>
      </c>
      <c r="AP40" s="375" t="s">
        <v>35</v>
      </c>
      <c r="AQ40" s="375" t="s">
        <v>35</v>
      </c>
      <c r="AR40" s="375" t="s">
        <v>35</v>
      </c>
      <c r="AS40" s="375" t="s">
        <v>35</v>
      </c>
      <c r="AT40" s="375" t="s">
        <v>35</v>
      </c>
      <c r="AU40" s="375" t="s">
        <v>35</v>
      </c>
      <c r="AV40" s="375" t="s">
        <v>35</v>
      </c>
      <c r="AW40" s="375" t="s">
        <v>35</v>
      </c>
      <c r="AX40" s="375" t="s">
        <v>35</v>
      </c>
      <c r="AY40" s="375" t="s">
        <v>35</v>
      </c>
      <c r="AZ40" s="375" t="s">
        <v>35</v>
      </c>
      <c r="BA40" s="375" t="s">
        <v>35</v>
      </c>
      <c r="BB40" s="375" t="s">
        <v>35</v>
      </c>
      <c r="BC40" s="375" t="s">
        <v>35</v>
      </c>
      <c r="BD40" s="375" t="s">
        <v>35</v>
      </c>
      <c r="BE40" s="375" t="s">
        <v>35</v>
      </c>
      <c r="BF40" s="375" t="s">
        <v>35</v>
      </c>
      <c r="BG40" s="375" t="s">
        <v>35</v>
      </c>
      <c r="BH40" s="375" t="s">
        <v>35</v>
      </c>
      <c r="BI40" s="375" t="s">
        <v>35</v>
      </c>
      <c r="BJ40" s="375" t="s">
        <v>35</v>
      </c>
      <c r="BK40" s="375" t="s">
        <v>35</v>
      </c>
      <c r="BL40" s="375" t="s">
        <v>35</v>
      </c>
      <c r="BM40" s="375" t="s">
        <v>35</v>
      </c>
      <c r="BN40" s="307"/>
      <c r="BO40" s="307"/>
      <c r="BP40" s="307"/>
      <c r="BQ40" s="307"/>
      <c r="BR40" s="307"/>
    </row>
    <row r="41" spans="2:70" ht="17">
      <c r="C41" s="1354"/>
      <c r="AJ41" s="309"/>
      <c r="AK41" s="373"/>
      <c r="AL41" s="373"/>
      <c r="AM41" s="373"/>
      <c r="AN41" s="374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</row>
    <row r="42" spans="2:70" ht="17">
      <c r="C42" s="1354"/>
      <c r="AJ42" s="309" t="s">
        <v>36</v>
      </c>
      <c r="AK42" s="310">
        <v>54.3</v>
      </c>
      <c r="AL42" s="310">
        <v>2646</v>
      </c>
      <c r="AM42" s="311">
        <v>1933</v>
      </c>
      <c r="AN42" s="372">
        <v>184300</v>
      </c>
      <c r="AO42" s="311">
        <v>506</v>
      </c>
      <c r="AP42" s="311">
        <v>10770</v>
      </c>
      <c r="AQ42" s="311">
        <v>10770</v>
      </c>
      <c r="AR42" s="311">
        <v>131</v>
      </c>
      <c r="AS42" s="311">
        <v>323</v>
      </c>
      <c r="AT42" s="311">
        <v>323</v>
      </c>
      <c r="AU42" s="310">
        <v>9.7100000000000009</v>
      </c>
      <c r="AV42" s="310">
        <v>32.6</v>
      </c>
      <c r="AW42" s="310">
        <v>32.6</v>
      </c>
      <c r="AX42" s="310">
        <v>1.81</v>
      </c>
      <c r="AY42" s="310">
        <v>0.92800000000000005</v>
      </c>
      <c r="AZ42" s="310">
        <v>0.68300000000000005</v>
      </c>
      <c r="BA42" s="310">
        <v>0.14000000000000001</v>
      </c>
      <c r="BB42" s="310">
        <v>0.55600000000000005</v>
      </c>
      <c r="BC42" s="310">
        <v>0.19700000000000001</v>
      </c>
      <c r="BD42" s="310">
        <v>1.68</v>
      </c>
      <c r="BE42" s="310">
        <v>0.13300000000000001</v>
      </c>
      <c r="BF42" s="310">
        <v>9.0300000000000005E-2</v>
      </c>
      <c r="BG42" s="310">
        <v>3.95E-2</v>
      </c>
      <c r="BH42" s="310">
        <v>0.50600000000000001</v>
      </c>
      <c r="BI42" s="310">
        <v>0.48</v>
      </c>
      <c r="BJ42" s="310">
        <v>0.98199999999999998</v>
      </c>
      <c r="BK42" s="310">
        <v>0.14799999999999999</v>
      </c>
      <c r="BL42" s="310">
        <v>2.5299999999999998</v>
      </c>
      <c r="BM42" s="310">
        <v>0.111</v>
      </c>
      <c r="BN42" s="307"/>
      <c r="BO42" s="307"/>
      <c r="BP42" s="307"/>
      <c r="BQ42" s="307"/>
      <c r="BR42" s="307"/>
    </row>
    <row r="43" spans="2:70" ht="17">
      <c r="C43" s="1354"/>
      <c r="AJ43" s="309" t="s">
        <v>37</v>
      </c>
      <c r="AK43" s="310">
        <v>1.6035494179199167E-2</v>
      </c>
      <c r="AL43" s="310">
        <v>0.35376731566908454</v>
      </c>
      <c r="AM43" s="310">
        <v>-2.2643202218976297</v>
      </c>
      <c r="AN43" s="371">
        <v>9.1931815848762461</v>
      </c>
      <c r="AO43" s="310">
        <v>0.16717011849640606</v>
      </c>
      <c r="AP43" s="310">
        <v>5.5891106055894255</v>
      </c>
      <c r="AQ43" s="310">
        <v>4.4536150270919581</v>
      </c>
      <c r="AR43" s="310">
        <v>5.7638818046808191E-2</v>
      </c>
      <c r="AS43" s="310">
        <v>5.6251831728814414E-2</v>
      </c>
      <c r="AT43" s="310">
        <v>-0.40259630856870332</v>
      </c>
      <c r="AU43" s="310">
        <v>2.2137467122503276E-2</v>
      </c>
      <c r="AV43" s="310">
        <v>1.2228869372507471E-3</v>
      </c>
      <c r="AW43" s="310">
        <v>1.1111819411753892E-2</v>
      </c>
      <c r="AX43" s="310">
        <v>7.5733964963970404E-2</v>
      </c>
      <c r="AY43" s="310">
        <v>5.2917538761125149E-2</v>
      </c>
      <c r="AZ43" s="310">
        <v>6.1720175628369865E-2</v>
      </c>
      <c r="BA43" s="310">
        <v>2.0100963583778025E-2</v>
      </c>
      <c r="BB43" s="310">
        <v>3.2283988425214814E-2</v>
      </c>
      <c r="BC43" s="310">
        <v>-0.1026305740995804</v>
      </c>
      <c r="BD43" s="310">
        <v>0.17716658536100743</v>
      </c>
      <c r="BE43" s="310">
        <v>0.23226140942161197</v>
      </c>
      <c r="BF43" s="310">
        <v>6.6995952059119854E-3</v>
      </c>
      <c r="BG43" s="310">
        <v>8.3702748080895732E-3</v>
      </c>
      <c r="BH43" s="310">
        <v>1.468899125380097E-2</v>
      </c>
      <c r="BI43" s="310">
        <v>9.8191518972536636E-3</v>
      </c>
      <c r="BJ43" s="310">
        <v>2.9994372414631834E-2</v>
      </c>
      <c r="BK43" s="310">
        <v>2.0920879338979039E-2</v>
      </c>
      <c r="BL43" s="310" t="e">
        <v>#VALUE!</v>
      </c>
      <c r="BM43" s="310" t="e">
        <v>#VALUE!</v>
      </c>
      <c r="BN43" s="307"/>
      <c r="BO43" s="307"/>
      <c r="BP43" s="307"/>
      <c r="BQ43" s="307"/>
      <c r="BR43" s="307"/>
    </row>
    <row r="44" spans="2:70" ht="18" thickBot="1">
      <c r="AJ44" s="309"/>
      <c r="AK44" s="307"/>
      <c r="AL44" s="307"/>
      <c r="AM44" s="307"/>
      <c r="AN44" s="370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</row>
    <row r="45" spans="2:70" ht="17">
      <c r="B45" s="1375" t="s">
        <v>483</v>
      </c>
      <c r="C45" s="1405">
        <f>(E37/32.06)/((E37/32.06)+(E36/58.69)+(E35/55.847))</f>
        <v>0.43097660813587801</v>
      </c>
      <c r="D45" s="1399" t="s">
        <v>1413</v>
      </c>
      <c r="E45" s="1403">
        <f>2*(C45^2)*SQRT(((((F37*32.06)/ E37^2)^2)*((E35/55.845)^2 + (E36/58.693)^2)^2) + (((F35/55.845)^2 + (F36/58.693)^2)*(32.06/E37)^2))</f>
        <v>1.9214702242884824E-2</v>
      </c>
      <c r="AJ45" s="335" t="s">
        <v>100</v>
      </c>
      <c r="AK45" s="330">
        <v>0.63159637537086422</v>
      </c>
      <c r="AL45" s="332">
        <v>195.01772795928534</v>
      </c>
      <c r="AM45" s="330"/>
      <c r="AN45" s="334">
        <v>830000</v>
      </c>
      <c r="AO45" s="332">
        <v>7943.221196777301</v>
      </c>
      <c r="AP45" s="332">
        <v>163545.82555876879</v>
      </c>
      <c r="AQ45" s="332">
        <v>160703.31485174736</v>
      </c>
      <c r="AR45" s="330"/>
      <c r="AS45" s="330"/>
      <c r="AT45" s="330"/>
      <c r="AU45" s="330"/>
      <c r="AV45" s="330"/>
      <c r="AW45" s="330"/>
      <c r="AX45" s="330"/>
      <c r="AY45" s="332">
        <v>25.571521639951893</v>
      </c>
      <c r="AZ45" s="332">
        <v>29.98713827668676</v>
      </c>
      <c r="BA45" s="333">
        <v>3.6006305865853836</v>
      </c>
      <c r="BB45" s="333">
        <v>6.5966653224518508</v>
      </c>
      <c r="BC45" s="330"/>
      <c r="BD45" s="331" t="s">
        <v>377</v>
      </c>
      <c r="BE45" s="331" t="s">
        <v>376</v>
      </c>
      <c r="BF45" s="333">
        <v>3.1093283800040212</v>
      </c>
      <c r="BG45" s="333">
        <v>2.7706104683575026</v>
      </c>
      <c r="BH45" s="332">
        <v>39.32503858745153</v>
      </c>
      <c r="BI45" s="332">
        <v>28.376241215006406</v>
      </c>
      <c r="BJ45" s="332">
        <v>31.102007278677853</v>
      </c>
      <c r="BK45" s="330">
        <v>0.11853647360058096</v>
      </c>
      <c r="BL45" s="330"/>
      <c r="BM45" s="330"/>
      <c r="BN45" s="327"/>
      <c r="BO45" s="329">
        <v>40.478996276855497</v>
      </c>
      <c r="BP45" s="328">
        <v>1.1061488675619648</v>
      </c>
      <c r="BQ45" s="327"/>
      <c r="BR45" s="326" t="s">
        <v>375</v>
      </c>
    </row>
    <row r="46" spans="2:70" ht="18" thickBot="1">
      <c r="B46" s="1399" t="s">
        <v>1404</v>
      </c>
      <c r="C46" s="1405">
        <f>((E37-F37)/32.06)/(((E37-F37)/32.06)+((E36+F36)/58.69)+((E35+F35)/55.847))</f>
        <v>0.41273053456581349</v>
      </c>
      <c r="D46" s="1401" t="s">
        <v>1414</v>
      </c>
      <c r="E46" s="1403">
        <f>C45-C46</f>
        <v>1.8246073570064525E-2</v>
      </c>
      <c r="AJ46" s="325" t="s">
        <v>101</v>
      </c>
      <c r="AK46" s="320">
        <v>0.76833560002028189</v>
      </c>
      <c r="AL46" s="321">
        <v>188.98725389288185</v>
      </c>
      <c r="AM46" s="321"/>
      <c r="AN46" s="324">
        <v>830000</v>
      </c>
      <c r="AO46" s="321">
        <v>7836.9337215367641</v>
      </c>
      <c r="AP46" s="321">
        <v>156471.66215233988</v>
      </c>
      <c r="AQ46" s="321">
        <v>159297.32376264394</v>
      </c>
      <c r="AR46" s="320"/>
      <c r="AS46" s="320"/>
      <c r="AT46" s="320"/>
      <c r="AU46" s="320"/>
      <c r="AV46" s="320"/>
      <c r="AW46" s="320"/>
      <c r="AX46" s="320"/>
      <c r="AY46" s="321">
        <v>23.635354281773484</v>
      </c>
      <c r="AZ46" s="321">
        <v>28.317098573619589</v>
      </c>
      <c r="BA46" s="322">
        <v>3.5594072687546161</v>
      </c>
      <c r="BB46" s="322">
        <v>5.8009846255278488</v>
      </c>
      <c r="BC46" s="320"/>
      <c r="BD46" s="323" t="s">
        <v>374</v>
      </c>
      <c r="BE46" s="323" t="s">
        <v>110</v>
      </c>
      <c r="BF46" s="322">
        <v>3.090780830895814</v>
      </c>
      <c r="BG46" s="322">
        <v>2.6898822977586554</v>
      </c>
      <c r="BH46" s="321">
        <v>39.115831082768317</v>
      </c>
      <c r="BI46" s="321">
        <v>26.828985188769568</v>
      </c>
      <c r="BJ46" s="321">
        <v>30.50000870182809</v>
      </c>
      <c r="BK46" s="323" t="s">
        <v>131</v>
      </c>
      <c r="BL46" s="320"/>
      <c r="BM46" s="320"/>
      <c r="BN46" s="317"/>
      <c r="BO46" s="319">
        <v>44.976997375488295</v>
      </c>
      <c r="BP46" s="318">
        <v>1.2396859094512485</v>
      </c>
      <c r="BQ46" s="317"/>
      <c r="BR46" s="316" t="s">
        <v>373</v>
      </c>
    </row>
    <row r="47" spans="2:70" ht="17">
      <c r="B47" s="1399" t="s">
        <v>1403</v>
      </c>
      <c r="C47" s="1405">
        <f>((E37+F37)/32.06)/(((E37+F37)/32.06)+((E36-F36)/58.69)+((E35-F35)/55.847))</f>
        <v>0.44945486860270079</v>
      </c>
      <c r="D47" s="1401" t="s">
        <v>1415</v>
      </c>
      <c r="E47" s="1403">
        <f>C47-C45</f>
        <v>1.8478260466822771E-2</v>
      </c>
      <c r="AJ47" s="315" t="s">
        <v>372</v>
      </c>
      <c r="AK47" s="340" t="s">
        <v>285</v>
      </c>
      <c r="AL47" s="339">
        <v>39.966097716416478</v>
      </c>
      <c r="AM47" s="339"/>
      <c r="AN47" s="342">
        <v>937000</v>
      </c>
      <c r="AO47" s="339">
        <v>4765.6706401328729</v>
      </c>
      <c r="AP47" s="339">
        <v>55521.665304216884</v>
      </c>
      <c r="AQ47" s="339">
        <v>53174.216806289987</v>
      </c>
      <c r="AR47" s="339"/>
      <c r="AS47" s="339"/>
      <c r="AT47" s="339"/>
      <c r="AU47" s="338"/>
      <c r="AV47" s="338"/>
      <c r="AW47" s="338"/>
      <c r="AX47" s="338"/>
      <c r="AY47" s="340">
        <v>6.6551912615867321</v>
      </c>
      <c r="AZ47" s="339">
        <v>22.588758294797163</v>
      </c>
      <c r="BA47" s="340">
        <v>2.4445464040397042</v>
      </c>
      <c r="BB47" s="340">
        <v>1.6800403604956347</v>
      </c>
      <c r="BC47" s="338"/>
      <c r="BD47" s="341" t="s">
        <v>371</v>
      </c>
      <c r="BE47" s="340">
        <v>1.8706287468967731</v>
      </c>
      <c r="BF47" s="340">
        <v>3.1363416736311098</v>
      </c>
      <c r="BG47" s="340">
        <v>1.2805171890262148</v>
      </c>
      <c r="BH47" s="339">
        <v>10.545984064113648</v>
      </c>
      <c r="BI47" s="339">
        <v>16.907043073993322</v>
      </c>
      <c r="BJ47" s="339">
        <v>33.259349659689164</v>
      </c>
      <c r="BK47" s="338">
        <v>0.63017844503954634</v>
      </c>
      <c r="BL47" s="338"/>
      <c r="BM47" s="338"/>
      <c r="BN47" s="336"/>
      <c r="BO47" s="313">
        <v>44.976997375488295</v>
      </c>
      <c r="BP47" s="337">
        <v>1.2022282311649664</v>
      </c>
      <c r="BQ47" s="336"/>
      <c r="BR47" s="336" t="s">
        <v>370</v>
      </c>
    </row>
    <row r="48" spans="2:70" ht="17">
      <c r="AJ48" s="315" t="s">
        <v>369</v>
      </c>
      <c r="AK48" s="339" t="s">
        <v>65</v>
      </c>
      <c r="AL48" s="339">
        <v>41.545878631713613</v>
      </c>
      <c r="AM48" s="339"/>
      <c r="AN48" s="342">
        <v>937000</v>
      </c>
      <c r="AO48" s="339">
        <v>4338.0561726957194</v>
      </c>
      <c r="AP48" s="339">
        <v>52343.025270425809</v>
      </c>
      <c r="AQ48" s="339">
        <v>50844.409883344873</v>
      </c>
      <c r="AR48" s="339"/>
      <c r="AS48" s="339"/>
      <c r="AT48" s="339"/>
      <c r="AU48" s="338"/>
      <c r="AV48" s="338"/>
      <c r="AW48" s="338"/>
      <c r="AX48" s="338"/>
      <c r="AY48" s="340">
        <v>6.5005700493462912</v>
      </c>
      <c r="AZ48" s="339">
        <v>21.161772597170199</v>
      </c>
      <c r="BA48" s="340">
        <v>2.4693390930030783</v>
      </c>
      <c r="BB48" s="340">
        <v>1.4612533018191212</v>
      </c>
      <c r="BC48" s="338"/>
      <c r="BD48" s="341" t="s">
        <v>368</v>
      </c>
      <c r="BE48" s="341" t="s">
        <v>367</v>
      </c>
      <c r="BF48" s="340">
        <v>3.3304428040612253</v>
      </c>
      <c r="BG48" s="340">
        <v>1.3749367120688296</v>
      </c>
      <c r="BH48" s="340">
        <v>9.6293696380076224</v>
      </c>
      <c r="BI48" s="339">
        <v>16.322419758229636</v>
      </c>
      <c r="BJ48" s="339">
        <v>32.672579952445496</v>
      </c>
      <c r="BK48" s="338">
        <v>0.59419614599356207</v>
      </c>
      <c r="BL48" s="338"/>
      <c r="BM48" s="338"/>
      <c r="BN48" s="336"/>
      <c r="BO48" s="313">
        <v>45.619997024536197</v>
      </c>
      <c r="BP48" s="337">
        <v>0.76715790226050617</v>
      </c>
      <c r="BQ48" s="336"/>
      <c r="BR48" s="336" t="s">
        <v>366</v>
      </c>
    </row>
    <row r="49" spans="36:70" ht="17">
      <c r="AJ49" s="309" t="s">
        <v>365</v>
      </c>
      <c r="AK49" s="365" t="s">
        <v>120</v>
      </c>
      <c r="AL49" s="366">
        <v>22.227207443766481</v>
      </c>
      <c r="AM49" s="366"/>
      <c r="AN49" s="369">
        <v>938000</v>
      </c>
      <c r="AO49" s="366">
        <v>4558.9334109767478</v>
      </c>
      <c r="AP49" s="366">
        <v>50662.233461461416</v>
      </c>
      <c r="AQ49" s="366">
        <v>50288.346455608531</v>
      </c>
      <c r="AR49" s="367"/>
      <c r="AS49" s="366"/>
      <c r="AT49" s="365"/>
      <c r="AU49" s="365"/>
      <c r="AV49" s="365"/>
      <c r="AW49" s="365"/>
      <c r="AX49" s="365"/>
      <c r="AY49" s="367">
        <v>5.9018485917703698</v>
      </c>
      <c r="AZ49" s="366">
        <v>18.116033161033993</v>
      </c>
      <c r="BA49" s="367">
        <v>2.4706500220969922</v>
      </c>
      <c r="BB49" s="367">
        <v>1.5315266291581575</v>
      </c>
      <c r="BC49" s="365"/>
      <c r="BD49" s="368" t="s">
        <v>364</v>
      </c>
      <c r="BE49" s="368" t="s">
        <v>329</v>
      </c>
      <c r="BF49" s="367">
        <v>2.5832309369438899</v>
      </c>
      <c r="BG49" s="365">
        <v>0.16786465666712003</v>
      </c>
      <c r="BH49" s="367">
        <v>1.075950991566015</v>
      </c>
      <c r="BI49" s="367">
        <v>3.5919315082861596</v>
      </c>
      <c r="BJ49" s="366">
        <v>24.39555919223745</v>
      </c>
      <c r="BK49" s="365">
        <v>0.58600560883389097</v>
      </c>
      <c r="BL49" s="365"/>
      <c r="BM49" s="365"/>
      <c r="BN49" s="307"/>
      <c r="BO49" s="308">
        <v>41.122001647949197</v>
      </c>
      <c r="BP49" s="364">
        <v>1.2031401019166268</v>
      </c>
      <c r="BQ49" s="307"/>
      <c r="BR49" s="307" t="s">
        <v>363</v>
      </c>
    </row>
    <row r="50" spans="36:70" ht="17">
      <c r="AJ50" s="934" t="s">
        <v>362</v>
      </c>
      <c r="AK50" s="935">
        <v>0.73406563388388568</v>
      </c>
      <c r="AL50" s="936" t="s">
        <v>322</v>
      </c>
      <c r="AM50" s="935"/>
      <c r="AN50" s="937">
        <v>507500</v>
      </c>
      <c r="AO50" s="938">
        <v>324.62241176177884</v>
      </c>
      <c r="AP50" s="938"/>
      <c r="AQ50" s="938">
        <v>186805.22773449821</v>
      </c>
      <c r="AR50" s="940"/>
      <c r="AS50" s="938"/>
      <c r="AT50" s="935"/>
      <c r="AU50" s="935"/>
      <c r="AV50" s="935"/>
      <c r="AW50" s="935"/>
      <c r="AX50" s="935"/>
      <c r="AY50" s="938">
        <v>188.22398819141645</v>
      </c>
      <c r="AZ50" s="940">
        <v>8.034463986025699</v>
      </c>
      <c r="BA50" s="940">
        <v>7.4758533849089561</v>
      </c>
      <c r="BB50" s="938">
        <v>52.082086257745225</v>
      </c>
      <c r="BC50" s="935"/>
      <c r="BD50" s="938">
        <v>922.90532684215134</v>
      </c>
      <c r="BE50" s="938">
        <v>1684.3138088438131</v>
      </c>
      <c r="BF50" s="940">
        <v>1.2630561161724501</v>
      </c>
      <c r="BG50" s="935">
        <v>0.29679153724551377</v>
      </c>
      <c r="BH50" s="935">
        <v>0.10788666950054067</v>
      </c>
      <c r="BI50" s="935">
        <v>0.26350232243820865</v>
      </c>
      <c r="BJ50" s="940">
        <v>1.6276925321429783</v>
      </c>
      <c r="BK50" s="938">
        <v>47.291460113786414</v>
      </c>
      <c r="BL50" s="935"/>
      <c r="BM50" s="935"/>
      <c r="BN50" s="941"/>
      <c r="BO50" s="942">
        <v>46.262001037597599</v>
      </c>
      <c r="BP50" s="943">
        <v>6.4816452198707086</v>
      </c>
      <c r="BQ50" s="941"/>
      <c r="BR50" s="944" t="s">
        <v>361</v>
      </c>
    </row>
    <row r="51" spans="36:70" ht="17">
      <c r="AJ51" s="945" t="s">
        <v>360</v>
      </c>
      <c r="AK51" s="946">
        <v>0.93118943398984555</v>
      </c>
      <c r="AL51" s="947">
        <v>1.5308835422999763</v>
      </c>
      <c r="AM51" s="946"/>
      <c r="AN51" s="948">
        <v>507500</v>
      </c>
      <c r="AO51" s="949">
        <v>321.37978241923219</v>
      </c>
      <c r="AP51" s="949"/>
      <c r="AQ51" s="949">
        <v>133236.74760903267</v>
      </c>
      <c r="AR51" s="947"/>
      <c r="AS51" s="949"/>
      <c r="AT51" s="946"/>
      <c r="AU51" s="946"/>
      <c r="AV51" s="946"/>
      <c r="AW51" s="946"/>
      <c r="AX51" s="946"/>
      <c r="AY51" s="949">
        <v>193.12969019438569</v>
      </c>
      <c r="AZ51" s="949">
        <v>10.794050477828222</v>
      </c>
      <c r="BA51" s="949">
        <v>12.934388977761134</v>
      </c>
      <c r="BB51" s="949">
        <v>60.969545382342027</v>
      </c>
      <c r="BC51" s="946"/>
      <c r="BD51" s="949">
        <v>521.04497904177629</v>
      </c>
      <c r="BE51" s="949">
        <v>878.65422629444254</v>
      </c>
      <c r="BF51" s="947">
        <v>1.1047569182741452</v>
      </c>
      <c r="BG51" s="946">
        <v>0.40910667969450365</v>
      </c>
      <c r="BH51" s="946">
        <v>0.13459987529732842</v>
      </c>
      <c r="BI51" s="946">
        <v>0.33115382998309106</v>
      </c>
      <c r="BJ51" s="947">
        <v>2.4443019906702128</v>
      </c>
      <c r="BK51" s="949">
        <v>56.689839599761314</v>
      </c>
      <c r="BL51" s="946"/>
      <c r="BM51" s="946"/>
      <c r="BN51" s="951"/>
      <c r="BO51" s="952">
        <v>44.977001190185497</v>
      </c>
      <c r="BP51" s="953">
        <v>7.0907897175837267</v>
      </c>
      <c r="BQ51" s="951"/>
      <c r="BR51" s="954" t="s">
        <v>359</v>
      </c>
    </row>
    <row r="52" spans="36:70" ht="17">
      <c r="AJ52" s="945" t="s">
        <v>358</v>
      </c>
      <c r="AK52" s="946">
        <v>0.85486141276246641</v>
      </c>
      <c r="AL52" s="955" t="s">
        <v>357</v>
      </c>
      <c r="AM52" s="946"/>
      <c r="AN52" s="948">
        <v>507500</v>
      </c>
      <c r="AO52" s="949">
        <v>294.7980203837264</v>
      </c>
      <c r="AP52" s="949"/>
      <c r="AQ52" s="949">
        <v>148242.25450000484</v>
      </c>
      <c r="AR52" s="947"/>
      <c r="AS52" s="949"/>
      <c r="AT52" s="946"/>
      <c r="AU52" s="946"/>
      <c r="AV52" s="946"/>
      <c r="AW52" s="946"/>
      <c r="AX52" s="946"/>
      <c r="AY52" s="949">
        <v>187.24441529879508</v>
      </c>
      <c r="AZ52" s="947">
        <v>5.9448054753341184</v>
      </c>
      <c r="BA52" s="947">
        <v>5.9797462031138284</v>
      </c>
      <c r="BB52" s="949">
        <v>53.328560658189645</v>
      </c>
      <c r="BC52" s="946"/>
      <c r="BD52" s="949">
        <v>590.94823312681126</v>
      </c>
      <c r="BE52" s="949">
        <v>1041.605619489234</v>
      </c>
      <c r="BF52" s="947">
        <v>1.1026529895460688</v>
      </c>
      <c r="BG52" s="946">
        <v>0.18051591385127985</v>
      </c>
      <c r="BH52" s="946">
        <v>7.9709382446052829E-2</v>
      </c>
      <c r="BI52" s="946">
        <v>0.19529848590464732</v>
      </c>
      <c r="BJ52" s="947">
        <v>1.1419229347746367</v>
      </c>
      <c r="BK52" s="949">
        <v>35.531696484367735</v>
      </c>
      <c r="BL52" s="946"/>
      <c r="BM52" s="946"/>
      <c r="BN52" s="951"/>
      <c r="BO52" s="952">
        <v>47.547000885009695</v>
      </c>
      <c r="BP52" s="953">
        <v>7.335761069676046</v>
      </c>
      <c r="BQ52" s="951"/>
      <c r="BR52" s="954" t="s">
        <v>356</v>
      </c>
    </row>
    <row r="53" spans="36:70" ht="17">
      <c r="AJ53" s="945" t="s">
        <v>355</v>
      </c>
      <c r="AK53" s="947">
        <v>0.65817446783286471</v>
      </c>
      <c r="AL53" s="956" t="s">
        <v>354</v>
      </c>
      <c r="AM53" s="957"/>
      <c r="AN53" s="948">
        <v>507500</v>
      </c>
      <c r="AO53" s="949">
        <v>321.93434272142468</v>
      </c>
      <c r="AP53" s="958"/>
      <c r="AQ53" s="949">
        <v>178957.24132817748</v>
      </c>
      <c r="AR53" s="947"/>
      <c r="AS53" s="949"/>
      <c r="AT53" s="946"/>
      <c r="AU53" s="946"/>
      <c r="AV53" s="946"/>
      <c r="AW53" s="946"/>
      <c r="AX53" s="946"/>
      <c r="AY53" s="949">
        <v>194.60587793390195</v>
      </c>
      <c r="AZ53" s="947">
        <v>6.4192502913141807</v>
      </c>
      <c r="BA53" s="947">
        <v>5.8178027301643054</v>
      </c>
      <c r="BB53" s="949">
        <v>67.814526741127324</v>
      </c>
      <c r="BC53" s="946"/>
      <c r="BD53" s="949">
        <v>1007.1611715114071</v>
      </c>
      <c r="BE53" s="949">
        <v>1624.2418005244906</v>
      </c>
      <c r="BF53" s="946">
        <v>0.57435107851809619</v>
      </c>
      <c r="BG53" s="946">
        <v>0.23085510165602283</v>
      </c>
      <c r="BH53" s="946">
        <v>7.9973602796393053E-2</v>
      </c>
      <c r="BI53" s="946">
        <v>0.2048323892288231</v>
      </c>
      <c r="BJ53" s="947">
        <v>1.1878927207803047</v>
      </c>
      <c r="BK53" s="949">
        <v>38.656429419566528</v>
      </c>
      <c r="BL53" s="946"/>
      <c r="BM53" s="946"/>
      <c r="BN53" s="951"/>
      <c r="BO53" s="952">
        <v>45.618999481201094</v>
      </c>
      <c r="BP53" s="953">
        <v>6.6986116083265808</v>
      </c>
      <c r="BQ53" s="951"/>
      <c r="BR53" s="954" t="s">
        <v>353</v>
      </c>
    </row>
    <row r="54" spans="36:70" ht="17">
      <c r="AJ54" s="362" t="s">
        <v>352</v>
      </c>
      <c r="AK54" s="359">
        <v>0.973762064638384</v>
      </c>
      <c r="AL54" s="359">
        <v>6.5303235013614671</v>
      </c>
      <c r="AM54" s="363"/>
      <c r="AN54" s="361">
        <v>621500</v>
      </c>
      <c r="AO54" s="360">
        <v>145.51901237773058</v>
      </c>
      <c r="AP54" s="360">
        <v>16565.694716242699</v>
      </c>
      <c r="AQ54" s="360">
        <v>16693.629294660441</v>
      </c>
      <c r="AR54" s="359"/>
      <c r="AS54" s="360"/>
      <c r="AT54" s="357"/>
      <c r="AU54" s="357"/>
      <c r="AV54" s="357"/>
      <c r="AW54" s="357"/>
      <c r="AX54" s="357"/>
      <c r="AY54" s="360">
        <v>393.81828486969567</v>
      </c>
      <c r="AZ54" s="359">
        <v>2.6142600302071806</v>
      </c>
      <c r="BA54" s="357">
        <v>0.25937800348498463</v>
      </c>
      <c r="BB54" s="357">
        <v>0.20380748831096687</v>
      </c>
      <c r="BC54" s="357"/>
      <c r="BD54" s="358" t="s">
        <v>319</v>
      </c>
      <c r="BE54" s="358" t="s">
        <v>351</v>
      </c>
      <c r="BF54" s="357">
        <v>0.12286364172656092</v>
      </c>
      <c r="BG54" s="358" t="s">
        <v>239</v>
      </c>
      <c r="BH54" s="363">
        <v>1.806958799304498E-3</v>
      </c>
      <c r="BI54" s="360"/>
      <c r="BJ54" s="363">
        <v>1.4603085360428505E-3</v>
      </c>
      <c r="BK54" s="357">
        <v>0.62127396493358988</v>
      </c>
      <c r="BL54" s="357"/>
      <c r="BM54" s="357"/>
      <c r="BN54" s="354"/>
      <c r="BO54" s="356">
        <v>49.473999023437493</v>
      </c>
      <c r="BP54" s="355">
        <v>4.9192226798941734</v>
      </c>
      <c r="BQ54" s="354"/>
      <c r="BR54" s="353" t="s">
        <v>350</v>
      </c>
    </row>
    <row r="55" spans="36:70" ht="17">
      <c r="AJ55" s="362" t="s">
        <v>346</v>
      </c>
      <c r="AK55" s="359">
        <v>1.131358118662684</v>
      </c>
      <c r="AL55" s="359">
        <v>8.4457330032932862</v>
      </c>
      <c r="AM55" s="360"/>
      <c r="AN55" s="361">
        <v>621500</v>
      </c>
      <c r="AO55" s="360">
        <v>146.02185028939198</v>
      </c>
      <c r="AP55" s="360">
        <v>17379.677612768297</v>
      </c>
      <c r="AQ55" s="360">
        <v>16675.452822804291</v>
      </c>
      <c r="AR55" s="359"/>
      <c r="AS55" s="360"/>
      <c r="AT55" s="357"/>
      <c r="AU55" s="357"/>
      <c r="AV55" s="357"/>
      <c r="AW55" s="357"/>
      <c r="AX55" s="357"/>
      <c r="AY55" s="360">
        <v>401.73119494034972</v>
      </c>
      <c r="AZ55" s="359">
        <v>2.5339017743511052</v>
      </c>
      <c r="BA55" s="358" t="s">
        <v>115</v>
      </c>
      <c r="BB55" s="358" t="s">
        <v>160</v>
      </c>
      <c r="BC55" s="357"/>
      <c r="BD55" s="358" t="s">
        <v>345</v>
      </c>
      <c r="BE55" s="358" t="s">
        <v>344</v>
      </c>
      <c r="BF55" s="357">
        <v>0.10451123239934025</v>
      </c>
      <c r="BG55" s="358" t="s">
        <v>185</v>
      </c>
      <c r="BH55" s="358" t="s">
        <v>180</v>
      </c>
      <c r="BI55" s="358" t="s">
        <v>104</v>
      </c>
      <c r="BJ55" s="358" t="s">
        <v>280</v>
      </c>
      <c r="BK55" s="357">
        <v>0.69102098981802895</v>
      </c>
      <c r="BL55" s="357"/>
      <c r="BM55" s="357"/>
      <c r="BN55" s="354"/>
      <c r="BO55" s="356">
        <v>35.981998443603501</v>
      </c>
      <c r="BP55" s="355">
        <v>4.9921676353115894</v>
      </c>
      <c r="BQ55" s="354"/>
      <c r="BR55" s="353" t="s">
        <v>343</v>
      </c>
    </row>
    <row r="56" spans="36:70" ht="17">
      <c r="AJ56" s="362" t="s">
        <v>342</v>
      </c>
      <c r="AK56" s="359">
        <v>1.5574204493192367</v>
      </c>
      <c r="AL56" s="359">
        <v>7.7859129738674318</v>
      </c>
      <c r="AM56" s="360"/>
      <c r="AN56" s="361">
        <v>621500</v>
      </c>
      <c r="AO56" s="360">
        <v>156.30425822189798</v>
      </c>
      <c r="AP56" s="360">
        <v>18306.671722048541</v>
      </c>
      <c r="AQ56" s="360">
        <v>16531.851894596068</v>
      </c>
      <c r="AR56" s="360"/>
      <c r="AS56" s="360"/>
      <c r="AT56" s="359"/>
      <c r="AU56" s="357"/>
      <c r="AV56" s="357"/>
      <c r="AW56" s="357"/>
      <c r="AX56" s="357"/>
      <c r="AY56" s="360">
        <v>401.27779541248253</v>
      </c>
      <c r="AZ56" s="359">
        <v>2.7710994709592911</v>
      </c>
      <c r="BA56" s="357">
        <v>0.28214909833979557</v>
      </c>
      <c r="BB56" s="358" t="s">
        <v>133</v>
      </c>
      <c r="BC56" s="358"/>
      <c r="BD56" s="358" t="s">
        <v>322</v>
      </c>
      <c r="BE56" s="358" t="s">
        <v>341</v>
      </c>
      <c r="BF56" s="357">
        <v>0.18883082180903191</v>
      </c>
      <c r="BG56" s="358" t="s">
        <v>49</v>
      </c>
      <c r="BH56" s="358" t="s">
        <v>104</v>
      </c>
      <c r="BI56" s="358" t="s">
        <v>49</v>
      </c>
      <c r="BJ56" s="358" t="s">
        <v>279</v>
      </c>
      <c r="BK56" s="357">
        <v>0.67972621689881696</v>
      </c>
      <c r="BL56" s="357"/>
      <c r="BM56" s="357"/>
      <c r="BN56" s="354"/>
      <c r="BO56" s="356">
        <v>17.347997665405298</v>
      </c>
      <c r="BP56" s="355">
        <v>5.2737897522663424</v>
      </c>
      <c r="BQ56" s="354"/>
      <c r="BR56" s="353" t="s">
        <v>340</v>
      </c>
    </row>
    <row r="57" spans="36:70" ht="17">
      <c r="AJ57" s="352" t="s">
        <v>332</v>
      </c>
      <c r="AK57" s="348">
        <v>3.4805940421650559</v>
      </c>
      <c r="AL57" s="349">
        <v>65.17622147333968</v>
      </c>
      <c r="AM57" s="347"/>
      <c r="AN57" s="351">
        <v>621500</v>
      </c>
      <c r="AO57" s="349">
        <v>141.29921218604946</v>
      </c>
      <c r="AP57" s="349">
        <v>19056.6095463987</v>
      </c>
      <c r="AQ57" s="349">
        <v>19135.954888209177</v>
      </c>
      <c r="AR57" s="349"/>
      <c r="AS57" s="349"/>
      <c r="AT57" s="348"/>
      <c r="AU57" s="347"/>
      <c r="AV57" s="347"/>
      <c r="AW57" s="347"/>
      <c r="AX57" s="347"/>
      <c r="AY57" s="349">
        <v>330.27796290692606</v>
      </c>
      <c r="AZ57" s="348">
        <v>2.7459319068671268</v>
      </c>
      <c r="BA57" s="348">
        <v>2.2849636987069331</v>
      </c>
      <c r="BB57" s="348">
        <v>1.8152235752013883</v>
      </c>
      <c r="BC57" s="350"/>
      <c r="BD57" s="349">
        <v>52.936170725971699</v>
      </c>
      <c r="BE57" s="349">
        <v>26.153847780194695</v>
      </c>
      <c r="BF57" s="348">
        <v>2.1918429385451397</v>
      </c>
      <c r="BG57" s="347">
        <v>0.18070609267615498</v>
      </c>
      <c r="BH57" s="348">
        <v>7.8116746046593901</v>
      </c>
      <c r="BI57" s="347">
        <v>0.4746545214001503</v>
      </c>
      <c r="BJ57" s="348">
        <v>3.214647210257461</v>
      </c>
      <c r="BK57" s="348">
        <v>2.1748754152705883</v>
      </c>
      <c r="BL57" s="347"/>
      <c r="BM57" s="347"/>
      <c r="BN57" s="344"/>
      <c r="BO57" s="346">
        <v>47.5469970703125</v>
      </c>
      <c r="BP57" s="345">
        <v>2.1975037617333077</v>
      </c>
      <c r="BQ57" s="344"/>
      <c r="BR57" s="343" t="s">
        <v>331</v>
      </c>
    </row>
    <row r="58" spans="36:70" ht="17">
      <c r="AJ58" s="959" t="s">
        <v>349</v>
      </c>
      <c r="AK58" s="960" t="s">
        <v>137</v>
      </c>
      <c r="AL58" s="961" t="s">
        <v>348</v>
      </c>
      <c r="AM58" s="962"/>
      <c r="AN58" s="963">
        <v>571100</v>
      </c>
      <c r="AO58" s="960">
        <v>1266.2593696601118</v>
      </c>
      <c r="AP58" s="960">
        <v>348927.60783088714</v>
      </c>
      <c r="AQ58" s="960">
        <v>369440.64634693053</v>
      </c>
      <c r="AR58" s="970"/>
      <c r="AS58" s="960"/>
      <c r="AT58" s="965"/>
      <c r="AU58" s="965"/>
      <c r="AV58" s="965"/>
      <c r="AW58" s="965"/>
      <c r="AX58" s="965"/>
      <c r="AY58" s="960">
        <v>347.06431087822079</v>
      </c>
      <c r="AZ58" s="960">
        <v>1701.9351861908397</v>
      </c>
      <c r="BA58" s="960">
        <v>956.17099091090927</v>
      </c>
      <c r="BB58" s="960">
        <v>326.79775417825181</v>
      </c>
      <c r="BC58" s="965"/>
      <c r="BD58" s="960">
        <v>2463.8041470987182</v>
      </c>
      <c r="BE58" s="960">
        <v>2404.1331329717259</v>
      </c>
      <c r="BF58" s="960">
        <v>22.804569224624554</v>
      </c>
      <c r="BG58" s="960">
        <v>77.778632593863634</v>
      </c>
      <c r="BH58" s="960">
        <v>89.501883359138702</v>
      </c>
      <c r="BI58" s="960">
        <v>163.93753371223758</v>
      </c>
      <c r="BJ58" s="960">
        <v>716.06556199292947</v>
      </c>
      <c r="BK58" s="960">
        <v>553.25893756954565</v>
      </c>
      <c r="BL58" s="965"/>
      <c r="BM58" s="965"/>
      <c r="BN58" s="966"/>
      <c r="BO58" s="967">
        <v>46.261997222900398</v>
      </c>
      <c r="BP58" s="968">
        <v>0.61669511702881641</v>
      </c>
      <c r="BQ58" s="966"/>
      <c r="BR58" s="969" t="s">
        <v>347</v>
      </c>
    </row>
    <row r="59" spans="36:70" ht="17">
      <c r="AJ59" s="959" t="s">
        <v>339</v>
      </c>
      <c r="AK59" s="965" t="s">
        <v>338</v>
      </c>
      <c r="AL59" s="964" t="s">
        <v>337</v>
      </c>
      <c r="AM59" s="965"/>
      <c r="AN59" s="963">
        <v>571100</v>
      </c>
      <c r="AO59" s="960">
        <v>1223.3840427320358</v>
      </c>
      <c r="AP59" s="960">
        <v>410998.52255127131</v>
      </c>
      <c r="AQ59" s="960">
        <v>392637.00015480357</v>
      </c>
      <c r="AR59" s="960"/>
      <c r="AS59" s="960"/>
      <c r="AT59" s="970"/>
      <c r="AU59" s="965"/>
      <c r="AV59" s="965"/>
      <c r="AW59" s="965"/>
      <c r="AX59" s="965"/>
      <c r="AY59" s="960">
        <v>384.40945888586651</v>
      </c>
      <c r="AZ59" s="960">
        <v>858.91998844489842</v>
      </c>
      <c r="BA59" s="960">
        <v>668.41488912920897</v>
      </c>
      <c r="BB59" s="960">
        <v>326.24986447271863</v>
      </c>
      <c r="BC59" s="964"/>
      <c r="BD59" s="960">
        <v>3344.6414051711517</v>
      </c>
      <c r="BE59" s="960">
        <v>2681.6220776715395</v>
      </c>
      <c r="BF59" s="960">
        <v>61.263705283860538</v>
      </c>
      <c r="BG59" s="960">
        <v>61.155991790893573</v>
      </c>
      <c r="BH59" s="960">
        <v>108.55521137213741</v>
      </c>
      <c r="BI59" s="960">
        <v>158.30543865227793</v>
      </c>
      <c r="BJ59" s="960">
        <v>478.56190825101226</v>
      </c>
      <c r="BK59" s="960">
        <v>464.31591033446887</v>
      </c>
      <c r="BL59" s="965"/>
      <c r="BM59" s="965"/>
      <c r="BN59" s="966"/>
      <c r="BO59" s="967">
        <v>43.048999786376896</v>
      </c>
      <c r="BP59" s="968">
        <v>0.17007655514415015</v>
      </c>
      <c r="BQ59" s="966"/>
      <c r="BR59" s="969" t="s">
        <v>336</v>
      </c>
    </row>
    <row r="60" spans="36:70" ht="17">
      <c r="AJ60" s="959" t="s">
        <v>335</v>
      </c>
      <c r="AK60" s="970" t="s">
        <v>105</v>
      </c>
      <c r="AL60" s="964" t="s">
        <v>334</v>
      </c>
      <c r="AM60" s="965"/>
      <c r="AN60" s="963">
        <v>571100</v>
      </c>
      <c r="AO60" s="960">
        <v>1243.9591945376842</v>
      </c>
      <c r="AP60" s="960">
        <v>400877.54227378615</v>
      </c>
      <c r="AQ60" s="960">
        <v>397274.56853937887</v>
      </c>
      <c r="AR60" s="960"/>
      <c r="AS60" s="960"/>
      <c r="AT60" s="970"/>
      <c r="AU60" s="965"/>
      <c r="AV60" s="965"/>
      <c r="AW60" s="965"/>
      <c r="AX60" s="965"/>
      <c r="AY60" s="960">
        <v>359.74463162649573</v>
      </c>
      <c r="AZ60" s="960">
        <v>380.88307412442612</v>
      </c>
      <c r="BA60" s="960">
        <v>384.02568284914202</v>
      </c>
      <c r="BB60" s="960">
        <v>343.13351989569276</v>
      </c>
      <c r="BC60" s="964"/>
      <c r="BD60" s="960">
        <v>3977.9923851339527</v>
      </c>
      <c r="BE60" s="960">
        <v>2742.7990405321502</v>
      </c>
      <c r="BF60" s="960">
        <v>58.328141119916722</v>
      </c>
      <c r="BG60" s="970">
        <v>6.8575045600748421</v>
      </c>
      <c r="BH60" s="960">
        <v>52.689316676164829</v>
      </c>
      <c r="BI60" s="960">
        <v>1987.5491169037002</v>
      </c>
      <c r="BJ60" s="960">
        <v>233.71220269395465</v>
      </c>
      <c r="BK60" s="960">
        <v>434.03196778559953</v>
      </c>
      <c r="BL60" s="965"/>
      <c r="BM60" s="965"/>
      <c r="BN60" s="966"/>
      <c r="BO60" s="967">
        <v>45.620000839233398</v>
      </c>
      <c r="BP60" s="968">
        <v>0.20848618753315512</v>
      </c>
      <c r="BQ60" s="966"/>
      <c r="BR60" s="969" t="s">
        <v>333</v>
      </c>
    </row>
    <row r="61" spans="36:70" ht="17">
      <c r="AJ61" s="315" t="s">
        <v>330</v>
      </c>
      <c r="AK61" s="340" t="s">
        <v>117</v>
      </c>
      <c r="AL61" s="339">
        <v>38.345481832230469</v>
      </c>
      <c r="AM61" s="339"/>
      <c r="AN61" s="342">
        <v>937000</v>
      </c>
      <c r="AO61" s="339">
        <v>4374.0856912794588</v>
      </c>
      <c r="AP61" s="339">
        <v>52066.592318375406</v>
      </c>
      <c r="AQ61" s="339">
        <v>50005.599352038058</v>
      </c>
      <c r="AR61" s="339"/>
      <c r="AS61" s="339"/>
      <c r="AT61" s="340"/>
      <c r="AU61" s="338"/>
      <c r="AV61" s="338"/>
      <c r="AW61" s="339"/>
      <c r="AX61" s="340"/>
      <c r="AY61" s="340">
        <v>5.4543655273405278</v>
      </c>
      <c r="AZ61" s="339">
        <v>20.703062962468049</v>
      </c>
      <c r="BA61" s="340">
        <v>2.4243524283341271</v>
      </c>
      <c r="BB61" s="340">
        <v>1.7037564649484411</v>
      </c>
      <c r="BC61" s="338"/>
      <c r="BD61" s="341" t="s">
        <v>329</v>
      </c>
      <c r="BE61" s="340">
        <v>1.7113779621441783</v>
      </c>
      <c r="BF61" s="340">
        <v>2.8118754971985922</v>
      </c>
      <c r="BG61" s="340">
        <v>1.0523749919040075</v>
      </c>
      <c r="BH61" s="340">
        <v>9.1089920688013084</v>
      </c>
      <c r="BI61" s="339">
        <v>15.493877078788104</v>
      </c>
      <c r="BJ61" s="339">
        <v>29.746705343822196</v>
      </c>
      <c r="BK61" s="341" t="s">
        <v>192</v>
      </c>
      <c r="BL61" s="338"/>
      <c r="BM61" s="338"/>
      <c r="BN61" s="336"/>
      <c r="BO61" s="313">
        <v>46.904996871948299</v>
      </c>
      <c r="BP61" s="337">
        <v>0.92198082917854463</v>
      </c>
      <c r="BQ61" s="336"/>
      <c r="BR61" s="336" t="s">
        <v>328</v>
      </c>
    </row>
    <row r="62" spans="36:70" ht="18" thickBot="1">
      <c r="AJ62" s="315" t="s">
        <v>327</v>
      </c>
      <c r="AK62" s="340" t="s">
        <v>326</v>
      </c>
      <c r="AL62" s="339">
        <v>44.708971667032067</v>
      </c>
      <c r="AM62" s="339"/>
      <c r="AN62" s="342">
        <v>937000</v>
      </c>
      <c r="AO62" s="339">
        <v>4651.0025936998145</v>
      </c>
      <c r="AP62" s="339">
        <v>55005.90013084493</v>
      </c>
      <c r="AQ62" s="339">
        <v>54128.586297645859</v>
      </c>
      <c r="AR62" s="339"/>
      <c r="AS62" s="339"/>
      <c r="AT62" s="340"/>
      <c r="AU62" s="338"/>
      <c r="AV62" s="338"/>
      <c r="AW62" s="339"/>
      <c r="AX62" s="340"/>
      <c r="AY62" s="340">
        <v>6.1266599405500664</v>
      </c>
      <c r="AZ62" s="339">
        <v>23.689727999900867</v>
      </c>
      <c r="BA62" s="340">
        <v>2.5706681318017459</v>
      </c>
      <c r="BB62" s="340">
        <v>1.5601764786676116</v>
      </c>
      <c r="BC62" s="338"/>
      <c r="BD62" s="340">
        <v>3.2067592839876999</v>
      </c>
      <c r="BE62" s="341" t="s">
        <v>325</v>
      </c>
      <c r="BF62" s="340">
        <v>2.8541218103071655</v>
      </c>
      <c r="BG62" s="340">
        <v>1.1319886256075748</v>
      </c>
      <c r="BH62" s="340">
        <v>9.5997845910684632</v>
      </c>
      <c r="BI62" s="339">
        <v>16.248856506146787</v>
      </c>
      <c r="BJ62" s="339">
        <v>32.994926050449813</v>
      </c>
      <c r="BK62" s="338">
        <v>0.31172711832861477</v>
      </c>
      <c r="BL62" s="338"/>
      <c r="BM62" s="338"/>
      <c r="BN62" s="336"/>
      <c r="BO62" s="313">
        <v>37.909000396728494</v>
      </c>
      <c r="BP62" s="337">
        <v>0.90237168486794395</v>
      </c>
      <c r="BQ62" s="336"/>
      <c r="BR62" s="336" t="s">
        <v>324</v>
      </c>
    </row>
    <row r="63" spans="36:70" ht="17">
      <c r="AJ63" s="335" t="s">
        <v>142</v>
      </c>
      <c r="AK63" s="330">
        <v>0.60258539760398533</v>
      </c>
      <c r="AL63" s="332">
        <v>191.11122507172766</v>
      </c>
      <c r="AM63" s="332"/>
      <c r="AN63" s="334">
        <v>830000</v>
      </c>
      <c r="AO63" s="332">
        <v>7855.9915537920997</v>
      </c>
      <c r="AP63" s="332">
        <v>161169.51474578361</v>
      </c>
      <c r="AQ63" s="332">
        <v>160964.46448033705</v>
      </c>
      <c r="AR63" s="330"/>
      <c r="AS63" s="330"/>
      <c r="AT63" s="330"/>
      <c r="AU63" s="330"/>
      <c r="AV63" s="330"/>
      <c r="AW63" s="330"/>
      <c r="AX63" s="330"/>
      <c r="AY63" s="332">
        <v>24.224443231989582</v>
      </c>
      <c r="AZ63" s="332">
        <v>28.943313479973607</v>
      </c>
      <c r="BA63" s="330">
        <v>3.5471490741627272</v>
      </c>
      <c r="BB63" s="333">
        <v>5.8019997054629311</v>
      </c>
      <c r="BC63" s="330"/>
      <c r="BD63" s="331" t="s">
        <v>323</v>
      </c>
      <c r="BE63" s="331" t="s">
        <v>322</v>
      </c>
      <c r="BF63" s="333">
        <v>2.9987431639759579</v>
      </c>
      <c r="BG63" s="333">
        <v>2.8433386462623824</v>
      </c>
      <c r="BH63" s="332">
        <v>39.614792363461014</v>
      </c>
      <c r="BI63" s="332">
        <v>27.7621716372904</v>
      </c>
      <c r="BJ63" s="332">
        <v>31.455774216517987</v>
      </c>
      <c r="BK63" s="331" t="s">
        <v>160</v>
      </c>
      <c r="BL63" s="330"/>
      <c r="BM63" s="330"/>
      <c r="BN63" s="327"/>
      <c r="BO63" s="329">
        <v>46.904996871948299</v>
      </c>
      <c r="BP63" s="328">
        <v>0.81599639294844717</v>
      </c>
      <c r="BQ63" s="327"/>
      <c r="BR63" s="326" t="s">
        <v>321</v>
      </c>
    </row>
    <row r="64" spans="36:70" ht="18" thickBot="1">
      <c r="AJ64" s="325" t="s">
        <v>143</v>
      </c>
      <c r="AK64" s="320">
        <v>0.79731943114605541</v>
      </c>
      <c r="AL64" s="321">
        <v>192.88735002531405</v>
      </c>
      <c r="AM64" s="322"/>
      <c r="AN64" s="324">
        <v>830000</v>
      </c>
      <c r="AO64" s="321">
        <v>7923.914381632223</v>
      </c>
      <c r="AP64" s="321">
        <v>158835.78290559715</v>
      </c>
      <c r="AQ64" s="321">
        <v>159036.39717657029</v>
      </c>
      <c r="AR64" s="320"/>
      <c r="AS64" s="320"/>
      <c r="AT64" s="320"/>
      <c r="AU64" s="320"/>
      <c r="AV64" s="320"/>
      <c r="AW64" s="320"/>
      <c r="AX64" s="320"/>
      <c r="AY64" s="321">
        <v>24.973199124727884</v>
      </c>
      <c r="AZ64" s="321">
        <v>29.355727796215579</v>
      </c>
      <c r="BA64" s="320">
        <v>3.6127925744870457</v>
      </c>
      <c r="BB64" s="322">
        <v>6.5924750046036529</v>
      </c>
      <c r="BC64" s="320"/>
      <c r="BD64" s="323" t="s">
        <v>320</v>
      </c>
      <c r="BE64" s="323" t="s">
        <v>319</v>
      </c>
      <c r="BF64" s="322">
        <v>3.2002777163450311</v>
      </c>
      <c r="BG64" s="322">
        <v>2.617790075500209</v>
      </c>
      <c r="BH64" s="321">
        <v>38.828052376111096</v>
      </c>
      <c r="BI64" s="321">
        <v>27.4388022319561</v>
      </c>
      <c r="BJ64" s="321">
        <v>30.148133699114851</v>
      </c>
      <c r="BK64" s="320">
        <v>7.7689858031996878E-2</v>
      </c>
      <c r="BL64" s="320"/>
      <c r="BM64" s="320"/>
      <c r="BN64" s="317"/>
      <c r="BO64" s="319">
        <v>47.5469970703125</v>
      </c>
      <c r="BP64" s="318">
        <v>0.83816883003833953</v>
      </c>
      <c r="BQ64" s="317"/>
      <c r="BR64" s="316" t="s">
        <v>318</v>
      </c>
    </row>
    <row r="65" spans="36:70" ht="17">
      <c r="AJ65" s="309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</row>
    <row r="66" spans="36:70" ht="17">
      <c r="AJ66" s="309" t="s">
        <v>144</v>
      </c>
      <c r="AK66" s="310">
        <v>0.06</v>
      </c>
      <c r="AL66" s="311">
        <v>68</v>
      </c>
      <c r="AM66" s="308">
        <v>2.5</v>
      </c>
      <c r="AN66" s="311">
        <v>938000</v>
      </c>
      <c r="AO66" s="311">
        <v>4500</v>
      </c>
      <c r="AP66" s="311">
        <v>56500</v>
      </c>
      <c r="AQ66" s="311">
        <v>56500</v>
      </c>
      <c r="AR66" s="311">
        <v>135</v>
      </c>
      <c r="AS66" s="310">
        <v>0.25</v>
      </c>
      <c r="AT66" s="310">
        <v>0.25</v>
      </c>
      <c r="AU66" s="311">
        <v>59</v>
      </c>
      <c r="AV66" s="311">
        <v>181</v>
      </c>
      <c r="AW66" s="311">
        <v>181</v>
      </c>
      <c r="AX66" s="308">
        <v>4.7300000000000004</v>
      </c>
      <c r="AY66" s="308">
        <v>7.5</v>
      </c>
      <c r="AZ66" s="308">
        <v>16.5</v>
      </c>
      <c r="BA66" s="308">
        <v>2.2000000000000002</v>
      </c>
      <c r="BB66" s="308">
        <v>1.6</v>
      </c>
      <c r="BC66" s="308">
        <v>1</v>
      </c>
      <c r="BD66" s="308" t="s">
        <v>94</v>
      </c>
      <c r="BE66" s="308" t="s">
        <v>94</v>
      </c>
      <c r="BF66" s="308">
        <v>2.4300000000000002</v>
      </c>
      <c r="BG66" s="310">
        <v>0.17499999999999999</v>
      </c>
      <c r="BH66" s="308">
        <v>0.98</v>
      </c>
      <c r="BI66" s="308">
        <v>3.22</v>
      </c>
      <c r="BJ66" s="308">
        <v>24.1</v>
      </c>
      <c r="BK66" s="310">
        <v>0.61</v>
      </c>
      <c r="BL66" s="308" t="s">
        <v>94</v>
      </c>
      <c r="BM66" s="308" t="s">
        <v>94</v>
      </c>
      <c r="BN66" s="307"/>
      <c r="BO66" s="307"/>
      <c r="BP66" s="307"/>
      <c r="BQ66" s="307"/>
      <c r="BR66" s="307"/>
    </row>
    <row r="67" spans="36:70" ht="17">
      <c r="AJ67" s="315" t="s">
        <v>145</v>
      </c>
      <c r="AK67" s="314">
        <v>10</v>
      </c>
      <c r="AL67" s="314">
        <v>23</v>
      </c>
      <c r="AM67" s="314">
        <v>10</v>
      </c>
      <c r="AN67" s="314">
        <v>937000</v>
      </c>
      <c r="AO67" s="314">
        <v>4600</v>
      </c>
      <c r="AP67" s="314">
        <v>55000</v>
      </c>
      <c r="AQ67" s="314">
        <v>55000</v>
      </c>
      <c r="AR67" s="314">
        <v>145</v>
      </c>
      <c r="AS67" s="312">
        <v>0.34</v>
      </c>
      <c r="AT67" s="312">
        <v>0.34</v>
      </c>
      <c r="AU67" s="314">
        <v>58</v>
      </c>
      <c r="AV67" s="314">
        <v>177</v>
      </c>
      <c r="AW67" s="314">
        <v>177</v>
      </c>
      <c r="AX67" s="313">
        <v>4.3</v>
      </c>
      <c r="AY67" s="313">
        <v>6.4</v>
      </c>
      <c r="AZ67" s="313">
        <v>20</v>
      </c>
      <c r="BA67" s="313">
        <v>2.1</v>
      </c>
      <c r="BB67" s="313">
        <v>1.43</v>
      </c>
      <c r="BC67" s="313">
        <v>1</v>
      </c>
      <c r="BD67" s="313" t="s">
        <v>94</v>
      </c>
      <c r="BE67" s="313" t="s">
        <v>94</v>
      </c>
      <c r="BF67" s="313">
        <v>2.85</v>
      </c>
      <c r="BG67" s="313">
        <v>1.1399999999999999</v>
      </c>
      <c r="BH67" s="313">
        <v>9.44</v>
      </c>
      <c r="BI67" s="313">
        <v>15.1</v>
      </c>
      <c r="BJ67" s="313">
        <v>30.1</v>
      </c>
      <c r="BK67" s="312">
        <v>0.66</v>
      </c>
      <c r="BL67" s="308" t="s">
        <v>94</v>
      </c>
      <c r="BM67" s="308" t="s">
        <v>94</v>
      </c>
      <c r="BN67" s="307"/>
      <c r="BO67" s="307"/>
      <c r="BP67" s="307"/>
      <c r="BQ67" s="307"/>
      <c r="BR67" s="307"/>
    </row>
    <row r="68" spans="36:70" ht="17">
      <c r="AJ68" s="309"/>
      <c r="AK68" s="308" t="s">
        <v>94</v>
      </c>
      <c r="AL68" s="308" t="s">
        <v>94</v>
      </c>
      <c r="AM68" s="308" t="s">
        <v>94</v>
      </c>
      <c r="AN68" s="308" t="s">
        <v>94</v>
      </c>
      <c r="AO68" s="308" t="s">
        <v>94</v>
      </c>
      <c r="AP68" s="308" t="s">
        <v>94</v>
      </c>
      <c r="AQ68" s="308" t="s">
        <v>94</v>
      </c>
      <c r="AR68" s="308" t="s">
        <v>94</v>
      </c>
      <c r="AS68" s="308" t="s">
        <v>94</v>
      </c>
      <c r="AT68" s="308" t="s">
        <v>94</v>
      </c>
      <c r="AU68" s="308" t="s">
        <v>94</v>
      </c>
      <c r="AV68" s="308" t="s">
        <v>94</v>
      </c>
      <c r="AW68" s="308" t="s">
        <v>94</v>
      </c>
      <c r="AX68" s="308" t="s">
        <v>94</v>
      </c>
      <c r="AY68" s="308" t="s">
        <v>94</v>
      </c>
      <c r="AZ68" s="308" t="s">
        <v>94</v>
      </c>
      <c r="BA68" s="308" t="s">
        <v>94</v>
      </c>
      <c r="BB68" s="308" t="s">
        <v>94</v>
      </c>
      <c r="BC68" s="308" t="s">
        <v>94</v>
      </c>
      <c r="BD68" s="308" t="s">
        <v>94</v>
      </c>
      <c r="BE68" s="308" t="s">
        <v>94</v>
      </c>
      <c r="BF68" s="308" t="s">
        <v>94</v>
      </c>
      <c r="BG68" s="308" t="s">
        <v>94</v>
      </c>
      <c r="BH68" s="308" t="s">
        <v>94</v>
      </c>
      <c r="BI68" s="308" t="s">
        <v>94</v>
      </c>
      <c r="BJ68" s="308" t="s">
        <v>94</v>
      </c>
      <c r="BK68" s="308" t="s">
        <v>94</v>
      </c>
      <c r="BL68" s="308" t="s">
        <v>94</v>
      </c>
      <c r="BM68" s="308" t="s">
        <v>94</v>
      </c>
      <c r="BN68" s="307"/>
      <c r="BO68" s="307"/>
      <c r="BP68" s="307"/>
      <c r="BQ68" s="307"/>
      <c r="BR68" s="30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DA73"/>
  <sheetViews>
    <sheetView zoomScaleNormal="90" workbookViewId="0">
      <selection activeCell="I26" sqref="I26"/>
    </sheetView>
  </sheetViews>
  <sheetFormatPr baseColWidth="10" defaultColWidth="11.6640625" defaultRowHeight="16"/>
  <cols>
    <col min="1" max="25" width="11.6640625" style="306"/>
    <col min="26" max="26" width="13.6640625" style="306" customWidth="1"/>
    <col min="27" max="27" width="11.6640625" style="306"/>
    <col min="28" max="28" width="14.5" style="306" customWidth="1"/>
    <col min="29" max="29" width="14.6640625" style="306" customWidth="1"/>
    <col min="30" max="30" width="11.6640625" style="306"/>
    <col min="31" max="34" width="14.6640625" style="306" customWidth="1"/>
    <col min="35" max="35" width="11.6640625" style="306"/>
    <col min="36" max="36" width="23.33203125" style="306" customWidth="1"/>
    <col min="37" max="67" width="11.6640625" style="306"/>
    <col min="68" max="68" width="44.5" style="306" customWidth="1"/>
    <col min="69" max="16384" width="11.6640625" style="306"/>
  </cols>
  <sheetData>
    <row r="1" spans="1:105" ht="19">
      <c r="A1" s="445" t="s">
        <v>495</v>
      </c>
      <c r="B1" s="445" t="s">
        <v>494</v>
      </c>
      <c r="C1" s="306" t="s">
        <v>493</v>
      </c>
      <c r="D1" s="306" t="s">
        <v>492</v>
      </c>
      <c r="E1" s="1442" t="s">
        <v>1421</v>
      </c>
      <c r="F1" s="306" t="s">
        <v>491</v>
      </c>
      <c r="G1" s="306" t="s">
        <v>490</v>
      </c>
      <c r="H1" s="1442" t="s">
        <v>1422</v>
      </c>
      <c r="I1" s="306" t="s">
        <v>489</v>
      </c>
      <c r="J1" s="306" t="s">
        <v>488</v>
      </c>
      <c r="K1" s="1445" t="s">
        <v>1423</v>
      </c>
      <c r="L1" s="844" t="s">
        <v>487</v>
      </c>
      <c r="M1" s="843" t="s">
        <v>486</v>
      </c>
      <c r="N1" s="1441" t="s">
        <v>1353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52" t="s">
        <v>935</v>
      </c>
      <c r="X1" s="306" t="s">
        <v>481</v>
      </c>
      <c r="Y1" s="306" t="s">
        <v>480</v>
      </c>
      <c r="Z1" s="1375" t="s">
        <v>1409</v>
      </c>
      <c r="AA1" s="844" t="s">
        <v>479</v>
      </c>
      <c r="AB1" s="843" t="s">
        <v>478</v>
      </c>
      <c r="AC1" s="843" t="s">
        <v>1353</v>
      </c>
      <c r="AD1" s="1485" t="s">
        <v>1428</v>
      </c>
      <c r="AE1" s="1483" t="s">
        <v>1425</v>
      </c>
      <c r="AF1" s="1485" t="s">
        <v>1426</v>
      </c>
      <c r="AG1" s="866" t="s">
        <v>1353</v>
      </c>
      <c r="AH1" s="1488"/>
      <c r="AJ1" s="1053" t="s">
        <v>271</v>
      </c>
      <c r="AK1" s="381" t="s">
        <v>0</v>
      </c>
      <c r="AL1" s="307"/>
      <c r="AM1" s="307"/>
      <c r="AN1" s="373"/>
      <c r="AO1" s="373"/>
      <c r="AP1" s="307"/>
      <c r="AQ1" s="307"/>
      <c r="AR1" s="307"/>
      <c r="AS1" s="307"/>
      <c r="AT1" s="307"/>
      <c r="AU1" s="307"/>
      <c r="AV1" s="307"/>
      <c r="AW1" s="373"/>
      <c r="AX1" s="373"/>
      <c r="AY1" s="373"/>
      <c r="AZ1" s="373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U1"/>
      <c r="BV1"/>
      <c r="BW1"/>
      <c r="BX1"/>
      <c r="BY1"/>
      <c r="BZ1"/>
      <c r="CA1"/>
      <c r="CB1" s="307"/>
      <c r="CC1" s="307"/>
      <c r="CD1" s="307"/>
      <c r="CE1" s="307"/>
      <c r="CF1" s="307"/>
      <c r="CG1" s="307"/>
      <c r="CH1" s="373"/>
      <c r="CI1" s="373"/>
      <c r="CJ1" s="373"/>
      <c r="CK1" s="373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</row>
    <row r="2" spans="1:105" ht="18" thickBot="1">
      <c r="L2" s="846"/>
      <c r="N2" s="847"/>
      <c r="W2" s="853"/>
      <c r="AA2" s="846"/>
      <c r="AE2" s="846"/>
      <c r="AG2" s="847"/>
      <c r="AJ2" s="380"/>
      <c r="AK2" s="307" t="s">
        <v>568</v>
      </c>
      <c r="AL2" s="307"/>
      <c r="AM2" s="307"/>
      <c r="AN2" s="307"/>
      <c r="AO2" s="373"/>
      <c r="AP2" s="307"/>
      <c r="AQ2" s="307"/>
      <c r="AR2" s="307"/>
      <c r="AS2" s="307"/>
      <c r="AT2" s="379"/>
      <c r="AU2" s="378">
        <v>43696.608067129629</v>
      </c>
      <c r="AV2" s="307"/>
      <c r="AW2" s="379"/>
      <c r="AX2" s="378"/>
      <c r="AY2" s="373"/>
      <c r="AZ2" s="373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</row>
    <row r="3" spans="1:105" ht="17">
      <c r="A3" s="435" t="s">
        <v>391</v>
      </c>
      <c r="B3" s="435" t="s">
        <v>3</v>
      </c>
      <c r="C3" s="406" t="e">
        <f>AVERAGE(AK63:AK66)</f>
        <v>#DIV/0!</v>
      </c>
      <c r="D3" s="406" t="e">
        <f>STDEV(AK63:AK66)</f>
        <v>#DIV/0!</v>
      </c>
      <c r="E3" s="406" t="e" cm="1">
        <f t="array" ref="E3:E29">2*D3:D29</f>
        <v>#DIV/0!</v>
      </c>
      <c r="F3" s="433">
        <f>AVERAGE($AK$59,$AK$60,$AK$61,$AK$62)</f>
        <v>0.31154476661863234</v>
      </c>
      <c r="G3" s="433">
        <f>STDEV($AK$59,$AK$60,$AK$61,$AK$62)</f>
        <v>8.3968797572031448E-2</v>
      </c>
      <c r="H3" s="433" cm="1">
        <f t="array" ref="H3:H29">2*G3:G29</f>
        <v>0.1679375951440629</v>
      </c>
      <c r="I3" s="406">
        <f>AVERAGE(AK51:AK58)</f>
        <v>46.312252587096353</v>
      </c>
      <c r="J3" s="406">
        <f>STDEV(AK51:AK58)</f>
        <v>65.430323113843798</v>
      </c>
      <c r="K3" s="406" cm="1">
        <f t="array" ref="K3:K29">2*J3:J29</f>
        <v>130.8606462276876</v>
      </c>
      <c r="L3" s="848" t="e" cm="1">
        <f t="array" ref="L3:L29">C3:C29/I3:I29</f>
        <v>#DIV/0!</v>
      </c>
      <c r="M3" s="406" t="e" cm="1">
        <f t="array" ref="M3:M29">L3:L29*SQRT((D3:D29/C3:C29)^2 + (J3:J29/I3:I29)^2)</f>
        <v>#DIV/0!</v>
      </c>
      <c r="N3" s="849" t="e" cm="1">
        <f t="array" ref="N3:N29">2*(M3:M29)</f>
        <v>#DIV/0!</v>
      </c>
      <c r="O3" s="433">
        <v>0.56999999999999995</v>
      </c>
      <c r="P3" s="433">
        <v>3</v>
      </c>
      <c r="Q3" s="778">
        <v>0.43464930200000002</v>
      </c>
      <c r="R3" s="570">
        <f t="shared" ref="R3:R29" si="0">(1-(2*Q3))/(1-Q3)</f>
        <v>0.23118640599962603</v>
      </c>
      <c r="S3" s="570">
        <f>O3*(((1-(2*C47))/(1-C47))^P3)</f>
        <v>3.9044981864589578E-3</v>
      </c>
      <c r="T3" s="570">
        <f>O3*(((1-(2*C46))/(1-C46))^P3)</f>
        <v>1.1203476674652905E-2</v>
      </c>
      <c r="U3" s="570" cm="1">
        <f t="array" ref="U3:U29">W3:W29-S3:S29</f>
        <v>3.1385674587568841E-3</v>
      </c>
      <c r="V3" s="570" cm="1">
        <f t="array" ref="V3:V29">T3:T29-W3:W29</f>
        <v>4.1604110294370632E-3</v>
      </c>
      <c r="W3" s="854">
        <f t="shared" ref="W3:W29" si="1">O3*((R3)^P3)</f>
        <v>7.043065645215842E-3</v>
      </c>
      <c r="X3" s="433" t="e">
        <f t="shared" ref="X3:X29" si="2">L3/W3</f>
        <v>#DIV/0!</v>
      </c>
      <c r="Y3" s="433" t="e">
        <f t="shared" ref="Y3:Y29" si="3">X3*(M3/L3)</f>
        <v>#DIV/0!</v>
      </c>
      <c r="Z3" s="433"/>
      <c r="AA3" s="857" t="e" cm="1">
        <f t="array" ref="AA3:AA29">C3:C29/F3:F29</f>
        <v>#DIV/0!</v>
      </c>
      <c r="AB3" s="406" t="e" cm="1">
        <f t="array" ref="AB3:AB29">AA3:AA29*SQRT((D3:D29/C3:C29)^2 + (G3:G29/F3:F29)^2)</f>
        <v>#DIV/0!</v>
      </c>
      <c r="AC3" s="813" t="e" cm="1">
        <f t="array" ref="AC3:AC29">2*AB3:AB29</f>
        <v>#DIV/0!</v>
      </c>
      <c r="AD3" s="433"/>
      <c r="AE3" s="867" cm="1">
        <f t="array" ref="AE3:AE29">F3:F29/I3:I29</f>
        <v>6.7270484421532066E-3</v>
      </c>
      <c r="AF3" s="813" cm="1">
        <f t="array" ref="AF3:AF29">AE3:AE29*SQRT((J3:J29/I3:I29)^2 + (G3:G29/F3:F29)^2)</f>
        <v>9.6754269754181031E-3</v>
      </c>
      <c r="AG3" s="858" cm="1">
        <f t="array" ref="AG3:AG29">2*AF3:AF29</f>
        <v>1.9350853950836206E-2</v>
      </c>
      <c r="AH3" s="435" t="s">
        <v>3</v>
      </c>
      <c r="AJ3" s="309" t="s">
        <v>2</v>
      </c>
      <c r="AK3" s="375" t="s">
        <v>3</v>
      </c>
      <c r="AL3" s="375" t="s">
        <v>4</v>
      </c>
      <c r="AM3" s="375" t="s">
        <v>5</v>
      </c>
      <c r="AN3" s="377" t="s">
        <v>6</v>
      </c>
      <c r="AO3" s="375" t="s">
        <v>7</v>
      </c>
      <c r="AP3" s="375" t="s">
        <v>8</v>
      </c>
      <c r="AQ3" s="375" t="s">
        <v>8</v>
      </c>
      <c r="AR3" s="375" t="s">
        <v>9</v>
      </c>
      <c r="AS3" s="375" t="s">
        <v>10</v>
      </c>
      <c r="AT3" s="375" t="s">
        <v>10</v>
      </c>
      <c r="AU3" s="375" t="s">
        <v>11</v>
      </c>
      <c r="AV3" s="375" t="s">
        <v>12</v>
      </c>
      <c r="AW3" s="375" t="s">
        <v>12</v>
      </c>
      <c r="AX3" s="375" t="s">
        <v>13</v>
      </c>
      <c r="AY3" s="375" t="s">
        <v>14</v>
      </c>
      <c r="AZ3" s="375" t="s">
        <v>15</v>
      </c>
      <c r="BA3" s="375" t="s">
        <v>16</v>
      </c>
      <c r="BB3" s="375" t="s">
        <v>17</v>
      </c>
      <c r="BC3" s="375" t="s">
        <v>18</v>
      </c>
      <c r="BD3" s="375" t="s">
        <v>19</v>
      </c>
      <c r="BE3" s="375" t="s">
        <v>20</v>
      </c>
      <c r="BF3" s="375" t="s">
        <v>21</v>
      </c>
      <c r="BG3" s="375" t="s">
        <v>22</v>
      </c>
      <c r="BH3" s="375" t="s">
        <v>23</v>
      </c>
      <c r="BI3" s="375" t="s">
        <v>24</v>
      </c>
      <c r="BJ3" s="375" t="s">
        <v>25</v>
      </c>
      <c r="BK3" s="375" t="s">
        <v>26</v>
      </c>
      <c r="BL3" s="307"/>
      <c r="BM3" s="375" t="s">
        <v>29</v>
      </c>
      <c r="BN3" s="375" t="s">
        <v>30</v>
      </c>
      <c r="BO3" s="375"/>
      <c r="BP3" s="375" t="s">
        <v>31</v>
      </c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</row>
    <row r="4" spans="1:105" ht="17">
      <c r="A4" s="407" t="s">
        <v>476</v>
      </c>
      <c r="B4" s="407" t="s">
        <v>4</v>
      </c>
      <c r="C4" s="406" t="e">
        <f>AVERAGE(AL26:AL29)</f>
        <v>#DIV/0!</v>
      </c>
      <c r="D4" s="406" t="e">
        <f>STDEV(AL26:AL29)</f>
        <v>#DIV/0!</v>
      </c>
      <c r="E4" s="406" t="e">
        <v>#DIV/0!</v>
      </c>
      <c r="F4" s="404">
        <f>AVERAGE($AL$22,$AL$23,$AL$24,$AL$25)</f>
        <v>2.934771423696847</v>
      </c>
      <c r="G4" s="404">
        <f>STDEV($AL$22,$AL$23,$AL$24,$AL$25)</f>
        <v>0.47768431943369671</v>
      </c>
      <c r="H4" s="404">
        <v>0.95536863886739343</v>
      </c>
      <c r="I4" s="406">
        <f>AVERAGE(AL14:AL21)</f>
        <v>246.71525751707679</v>
      </c>
      <c r="J4" s="406" t="e">
        <f>STDEV(AL14:AL21)</f>
        <v>#DIV/0!</v>
      </c>
      <c r="K4" s="406" t="e">
        <v>#DIV/0!</v>
      </c>
      <c r="L4" s="848" t="e">
        <v>#DIV/0!</v>
      </c>
      <c r="M4" s="406" t="e">
        <v>#DIV/0!</v>
      </c>
      <c r="N4" s="849" t="e">
        <v>#DIV/0!</v>
      </c>
      <c r="O4" s="404">
        <v>0.81</v>
      </c>
      <c r="P4" s="404">
        <v>1.66</v>
      </c>
      <c r="Q4" s="779">
        <v>0.43464930200000002</v>
      </c>
      <c r="R4" s="790">
        <f t="shared" si="0"/>
        <v>0.23118640599962603</v>
      </c>
      <c r="S4" s="790">
        <f>O4*(((1-(2*C47))/(1-C47))^P4)</f>
        <v>5.1392572452907966E-2</v>
      </c>
      <c r="T4" s="790">
        <f>O4*(((1-(2*C46))/(1-C46))^P4)</f>
        <v>9.208936733444506E-2</v>
      </c>
      <c r="U4" s="790">
        <v>1.9837342555467492E-2</v>
      </c>
      <c r="V4" s="790">
        <v>2.0859452326069602E-2</v>
      </c>
      <c r="W4" s="855">
        <f t="shared" si="1"/>
        <v>7.1229915008375458E-2</v>
      </c>
      <c r="X4" s="404" t="e">
        <f t="shared" si="2"/>
        <v>#DIV/0!</v>
      </c>
      <c r="Y4" s="404" t="e">
        <f t="shared" si="3"/>
        <v>#DIV/0!</v>
      </c>
      <c r="Z4" s="790">
        <f>AL45/F4</f>
        <v>0.12111712318080564</v>
      </c>
      <c r="AA4" s="857" t="e">
        <v>#DIV/0!</v>
      </c>
      <c r="AB4" s="406" t="e">
        <v>#DIV/0!</v>
      </c>
      <c r="AC4" s="813" t="e">
        <v>#DIV/0!</v>
      </c>
      <c r="AD4" s="404"/>
      <c r="AE4" s="867">
        <v>1.1895378718090478E-2</v>
      </c>
      <c r="AF4" s="813" t="e">
        <v>#DIV/0!</v>
      </c>
      <c r="AG4" s="858" t="e">
        <v>#DIV/0!</v>
      </c>
      <c r="AH4" s="407" t="s">
        <v>4</v>
      </c>
      <c r="AJ4" s="309" t="s">
        <v>32</v>
      </c>
      <c r="AK4" s="307">
        <v>51</v>
      </c>
      <c r="AL4" s="307">
        <v>53</v>
      </c>
      <c r="AM4" s="307">
        <v>55</v>
      </c>
      <c r="AN4" s="370">
        <v>57</v>
      </c>
      <c r="AO4" s="307">
        <v>59</v>
      </c>
      <c r="AP4" s="307">
        <v>61</v>
      </c>
      <c r="AQ4" s="307">
        <v>62</v>
      </c>
      <c r="AR4" s="307">
        <v>63</v>
      </c>
      <c r="AS4" s="307">
        <v>66</v>
      </c>
      <c r="AT4" s="307">
        <v>67</v>
      </c>
      <c r="AU4" s="307">
        <v>69</v>
      </c>
      <c r="AV4" s="307">
        <v>72</v>
      </c>
      <c r="AW4" s="307">
        <v>73</v>
      </c>
      <c r="AX4" s="307">
        <v>75</v>
      </c>
      <c r="AY4" s="307">
        <v>95</v>
      </c>
      <c r="AZ4" s="307">
        <v>101</v>
      </c>
      <c r="BA4" s="307">
        <v>103</v>
      </c>
      <c r="BB4" s="307">
        <v>105</v>
      </c>
      <c r="BC4" s="307">
        <v>107</v>
      </c>
      <c r="BD4" s="307">
        <v>118</v>
      </c>
      <c r="BE4" s="307">
        <v>121</v>
      </c>
      <c r="BF4" s="307">
        <v>184</v>
      </c>
      <c r="BG4" s="307">
        <v>185</v>
      </c>
      <c r="BH4" s="307">
        <v>189</v>
      </c>
      <c r="BI4" s="307">
        <v>193</v>
      </c>
      <c r="BJ4" s="307">
        <v>195</v>
      </c>
      <c r="BK4" s="307">
        <v>197</v>
      </c>
      <c r="BL4" s="307"/>
      <c r="BM4" s="375" t="s">
        <v>33</v>
      </c>
      <c r="BN4" s="375" t="s">
        <v>34</v>
      </c>
      <c r="BO4" s="307"/>
      <c r="BP4" s="307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</row>
    <row r="5" spans="1:105" ht="17">
      <c r="A5" s="407" t="s">
        <v>476</v>
      </c>
      <c r="B5" s="407" t="s">
        <v>5</v>
      </c>
      <c r="C5" s="406">
        <f>AVERAGE(AM26:AM29)</f>
        <v>-4.2049836367974285</v>
      </c>
      <c r="D5" s="406">
        <f>STDEV(AM26:AM29)</f>
        <v>15.531159311213122</v>
      </c>
      <c r="E5" s="406">
        <v>31.062318622426243</v>
      </c>
      <c r="F5" s="406" t="e">
        <f>AVERAGE($AM$22,$AM$23,$AM$24,$AM$25)</f>
        <v>#DIV/0!</v>
      </c>
      <c r="G5" s="406" t="e">
        <f>STDEV($AM$22,$AM$23,$AM$24,$AM$25)</f>
        <v>#DIV/0!</v>
      </c>
      <c r="H5" s="406" t="e">
        <v>#DIV/0!</v>
      </c>
      <c r="I5" s="406" t="e">
        <f>AVERAGE(AM14:AM21)</f>
        <v>#DIV/0!</v>
      </c>
      <c r="J5" s="406" t="e">
        <f>STDEV(AM14:AM21)</f>
        <v>#DIV/0!</v>
      </c>
      <c r="K5" s="406" t="e">
        <v>#DIV/0!</v>
      </c>
      <c r="L5" s="848" t="e">
        <v>#DIV/0!</v>
      </c>
      <c r="M5" s="406" t="e">
        <v>#DIV/0!</v>
      </c>
      <c r="N5" s="849" t="e">
        <v>#DIV/0!</v>
      </c>
      <c r="O5" s="404"/>
      <c r="P5" s="404"/>
      <c r="Q5" s="779">
        <v>0.43464930200000002</v>
      </c>
      <c r="R5" s="790">
        <f t="shared" si="0"/>
        <v>0.23118640599962603</v>
      </c>
      <c r="S5" s="790"/>
      <c r="T5" s="790"/>
      <c r="U5" s="790">
        <v>0</v>
      </c>
      <c r="V5" s="790">
        <v>0</v>
      </c>
      <c r="W5" s="855">
        <f t="shared" si="1"/>
        <v>0</v>
      </c>
      <c r="X5" s="404" t="e">
        <f t="shared" si="2"/>
        <v>#DIV/0!</v>
      </c>
      <c r="Y5" s="404" t="e">
        <f t="shared" si="3"/>
        <v>#DIV/0!</v>
      </c>
      <c r="Z5" s="404"/>
      <c r="AA5" s="857" t="e">
        <v>#DIV/0!</v>
      </c>
      <c r="AB5" s="406" t="e">
        <v>#DIV/0!</v>
      </c>
      <c r="AC5" s="813" t="e">
        <v>#DIV/0!</v>
      </c>
      <c r="AD5" s="404"/>
      <c r="AE5" s="867" t="e">
        <v>#DIV/0!</v>
      </c>
      <c r="AF5" s="813" t="e">
        <v>#DIV/0!</v>
      </c>
      <c r="AG5" s="858" t="e">
        <v>#DIV/0!</v>
      </c>
      <c r="AH5" s="407" t="s">
        <v>5</v>
      </c>
      <c r="AJ5" s="309"/>
      <c r="AK5" s="375" t="s">
        <v>35</v>
      </c>
      <c r="AL5" s="375" t="s">
        <v>35</v>
      </c>
      <c r="AM5" s="375" t="s">
        <v>35</v>
      </c>
      <c r="AN5" s="376" t="s">
        <v>35</v>
      </c>
      <c r="AO5" s="375" t="s">
        <v>35</v>
      </c>
      <c r="AP5" s="375" t="s">
        <v>35</v>
      </c>
      <c r="AQ5" s="375" t="s">
        <v>35</v>
      </c>
      <c r="AR5" s="375" t="s">
        <v>35</v>
      </c>
      <c r="AS5" s="375" t="s">
        <v>35</v>
      </c>
      <c r="AT5" s="375" t="s">
        <v>35</v>
      </c>
      <c r="AU5" s="375" t="s">
        <v>35</v>
      </c>
      <c r="AV5" s="375" t="s">
        <v>35</v>
      </c>
      <c r="AW5" s="375" t="s">
        <v>35</v>
      </c>
      <c r="AX5" s="375" t="s">
        <v>35</v>
      </c>
      <c r="AY5" s="375" t="s">
        <v>35</v>
      </c>
      <c r="AZ5" s="375" t="s">
        <v>35</v>
      </c>
      <c r="BA5" s="375" t="s">
        <v>35</v>
      </c>
      <c r="BB5" s="375" t="s">
        <v>35</v>
      </c>
      <c r="BC5" s="375" t="s">
        <v>35</v>
      </c>
      <c r="BD5" s="375" t="s">
        <v>35</v>
      </c>
      <c r="BE5" s="375" t="s">
        <v>35</v>
      </c>
      <c r="BF5" s="375" t="s">
        <v>35</v>
      </c>
      <c r="BG5" s="375" t="s">
        <v>35</v>
      </c>
      <c r="BH5" s="375" t="s">
        <v>35</v>
      </c>
      <c r="BI5" s="375" t="s">
        <v>35</v>
      </c>
      <c r="BJ5" s="375" t="s">
        <v>35</v>
      </c>
      <c r="BK5" s="375" t="s">
        <v>35</v>
      </c>
      <c r="BL5" s="307"/>
      <c r="BM5" s="307"/>
      <c r="BN5" s="307"/>
      <c r="BO5" s="307"/>
      <c r="BP5" s="307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</row>
    <row r="6" spans="1:105" ht="17">
      <c r="A6" s="407" t="s">
        <v>476</v>
      </c>
      <c r="B6" s="407" t="s">
        <v>6</v>
      </c>
      <c r="C6" s="404">
        <f>AVERAGE(AN26:AN29)</f>
        <v>454200</v>
      </c>
      <c r="D6" s="404">
        <f>STDEV(AN26:AN29)</f>
        <v>0</v>
      </c>
      <c r="E6" s="404">
        <v>0</v>
      </c>
      <c r="F6" s="404">
        <f>AVERAGE($AN$22,$AN$23,$AN$24,$AN$25)</f>
        <v>611700</v>
      </c>
      <c r="G6" s="404">
        <f>STDEV($AN$22,$AN$23,$AN$24,$AN$25)</f>
        <v>0</v>
      </c>
      <c r="H6" s="404">
        <v>0</v>
      </c>
      <c r="I6" s="404">
        <f>AVERAGE(AN14:AN21)</f>
        <v>413100</v>
      </c>
      <c r="J6" s="404">
        <f>STDEV(AN14:AN21)</f>
        <v>0</v>
      </c>
      <c r="K6" s="404">
        <v>0</v>
      </c>
      <c r="L6" s="1322">
        <v>1.0994916485112562</v>
      </c>
      <c r="M6" s="790">
        <v>0</v>
      </c>
      <c r="N6" s="876">
        <v>0</v>
      </c>
      <c r="O6" s="404"/>
      <c r="P6" s="404"/>
      <c r="Q6" s="779">
        <v>0.43464930200000002</v>
      </c>
      <c r="R6" s="790">
        <f t="shared" si="0"/>
        <v>0.23118640599962603</v>
      </c>
      <c r="S6" s="790"/>
      <c r="T6" s="790"/>
      <c r="U6" s="790">
        <v>0</v>
      </c>
      <c r="V6" s="790">
        <v>0</v>
      </c>
      <c r="W6" s="855">
        <f t="shared" si="1"/>
        <v>0</v>
      </c>
      <c r="X6" s="404" t="e">
        <f t="shared" si="2"/>
        <v>#DIV/0!</v>
      </c>
      <c r="Y6" s="404" t="e">
        <f t="shared" si="3"/>
        <v>#DIV/0!</v>
      </c>
      <c r="Z6" s="404"/>
      <c r="AA6" s="859">
        <v>0.7425208435507602</v>
      </c>
      <c r="AB6" s="860">
        <v>0</v>
      </c>
      <c r="AC6" s="749">
        <v>0</v>
      </c>
      <c r="AD6" s="404"/>
      <c r="AE6" s="868">
        <v>1.4807552650689906</v>
      </c>
      <c r="AF6" s="571">
        <v>0</v>
      </c>
      <c r="AG6" s="862">
        <v>0</v>
      </c>
      <c r="AH6" s="407" t="s">
        <v>6</v>
      </c>
      <c r="AJ6" s="309"/>
      <c r="AK6" s="373"/>
      <c r="AL6" s="373"/>
      <c r="AM6" s="373"/>
      <c r="AN6" s="374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</row>
    <row r="7" spans="1:105" ht="17">
      <c r="A7" s="444" t="s">
        <v>476</v>
      </c>
      <c r="B7" s="444" t="s">
        <v>7</v>
      </c>
      <c r="C7" s="1446">
        <f>AVERAGE(AO26:AO29)</f>
        <v>1372.0371651810228</v>
      </c>
      <c r="D7" s="1443">
        <f>STDEV(AO26:AO29)</f>
        <v>155.76697363274428</v>
      </c>
      <c r="E7" s="1446">
        <v>311.53394726548856</v>
      </c>
      <c r="F7" s="1447">
        <f>AVERAGE($AO$22,$AO$23,$AO$24,$AO$25)</f>
        <v>209.56963979502106</v>
      </c>
      <c r="G7" s="404">
        <f>STDEV($AO$22,$AO$23,$AO$24,$AO$25)</f>
        <v>5.3584428388901504</v>
      </c>
      <c r="H7" s="1447">
        <v>10.716885677780301</v>
      </c>
      <c r="I7" s="1447">
        <f>AVERAGE(AO14:AO21)</f>
        <v>409.85057884200234</v>
      </c>
      <c r="J7" s="404">
        <f>STDEV(AO14:AO21)</f>
        <v>32.483109936153937</v>
      </c>
      <c r="K7" s="1447">
        <v>64.966219872307875</v>
      </c>
      <c r="L7" s="1326">
        <v>3.3476521347306529</v>
      </c>
      <c r="M7" s="1327">
        <v>0.4635078485025968</v>
      </c>
      <c r="N7" s="1328">
        <v>0.9270156970051936</v>
      </c>
      <c r="O7" s="443">
        <v>0.95</v>
      </c>
      <c r="P7" s="443">
        <v>-1.26</v>
      </c>
      <c r="Q7" s="779">
        <v>0.43464930200000002</v>
      </c>
      <c r="R7" s="790">
        <f t="shared" si="0"/>
        <v>0.23118640599962603</v>
      </c>
      <c r="S7" s="790" cm="1">
        <f t="array" ref="S7:S9">O7:O9*(((1-(2*C46))/(1-C46))^P7:P9)</f>
        <v>4.9483779460160093</v>
      </c>
      <c r="T7" s="790" cm="1">
        <f t="array" ref="T7:T9">O7:O9*(((1-(2*C47))/(1-C47))^P7:P9)</f>
        <v>7.7043082386867079</v>
      </c>
      <c r="U7" s="790">
        <v>1.0651746730841278</v>
      </c>
      <c r="V7" s="790">
        <v>1.6907556195865707</v>
      </c>
      <c r="W7" s="856">
        <f t="shared" si="1"/>
        <v>6.0135526191001372</v>
      </c>
      <c r="X7" s="404">
        <f t="shared" si="2"/>
        <v>0.55668460006451104</v>
      </c>
      <c r="Y7" s="404">
        <f t="shared" si="3"/>
        <v>7.7077208409287293E-2</v>
      </c>
      <c r="Z7" s="404"/>
      <c r="AA7" s="877">
        <v>6.5469271528213966</v>
      </c>
      <c r="AB7" s="732">
        <v>0.76188785524548641</v>
      </c>
      <c r="AC7" s="732">
        <v>1.5237757104909728</v>
      </c>
      <c r="AD7" s="404"/>
      <c r="AE7" s="869">
        <v>0.51133181362618085</v>
      </c>
      <c r="AF7" s="749">
        <v>4.2582839780316975E-2</v>
      </c>
      <c r="AG7" s="861">
        <v>8.516567956063395E-2</v>
      </c>
      <c r="AH7" s="444" t="s">
        <v>7</v>
      </c>
      <c r="AJ7" s="309" t="s">
        <v>36</v>
      </c>
      <c r="AK7" s="308">
        <v>54.3</v>
      </c>
      <c r="AL7" s="311">
        <v>2646</v>
      </c>
      <c r="AM7" s="311">
        <v>1933</v>
      </c>
      <c r="AN7" s="372">
        <v>184300</v>
      </c>
      <c r="AO7" s="311">
        <v>506</v>
      </c>
      <c r="AP7" s="311">
        <v>10770</v>
      </c>
      <c r="AQ7" s="311">
        <v>10770</v>
      </c>
      <c r="AR7" s="311">
        <v>131</v>
      </c>
      <c r="AS7" s="311">
        <v>323</v>
      </c>
      <c r="AT7" s="311">
        <v>323</v>
      </c>
      <c r="AU7" s="310">
        <v>9.7100000000000009</v>
      </c>
      <c r="AV7" s="308">
        <v>32.6</v>
      </c>
      <c r="AW7" s="308">
        <v>32.6</v>
      </c>
      <c r="AX7" s="310">
        <v>1.81</v>
      </c>
      <c r="AY7" s="310">
        <v>0.92800000000000005</v>
      </c>
      <c r="AZ7" s="310">
        <v>0.68300000000000005</v>
      </c>
      <c r="BA7" s="310">
        <v>0.14000000000000001</v>
      </c>
      <c r="BB7" s="310">
        <v>0.55600000000000005</v>
      </c>
      <c r="BC7" s="310">
        <v>0.19700000000000001</v>
      </c>
      <c r="BD7" s="310">
        <v>1.68</v>
      </c>
      <c r="BE7" s="310">
        <v>0.13300000000000001</v>
      </c>
      <c r="BF7" s="310">
        <v>9.0300000000000005E-2</v>
      </c>
      <c r="BG7" s="310">
        <v>3.95E-2</v>
      </c>
      <c r="BH7" s="310">
        <v>0.50600000000000001</v>
      </c>
      <c r="BI7" s="310">
        <v>0.48</v>
      </c>
      <c r="BJ7" s="310">
        <v>0.98199999999999998</v>
      </c>
      <c r="BK7" s="310">
        <v>0.14799999999999999</v>
      </c>
      <c r="BL7" s="307"/>
      <c r="BM7" s="307"/>
      <c r="BN7" s="307"/>
      <c r="BO7" s="307"/>
      <c r="BP7" s="30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</row>
    <row r="8" spans="1:105" ht="17">
      <c r="A8" s="444" t="s">
        <v>476</v>
      </c>
      <c r="B8" s="444" t="s">
        <v>477</v>
      </c>
      <c r="C8" s="404">
        <f>AVERAGE(AP26:AP29)</f>
        <v>536154.77907702513</v>
      </c>
      <c r="D8" s="404">
        <f>STDEV(AP26:AP29)</f>
        <v>23024.330054938593</v>
      </c>
      <c r="E8" s="404">
        <v>46048.660109877186</v>
      </c>
      <c r="F8" s="404">
        <f>AVERAGE($AP$22,$AP$23,$AP$24,$AP$25)</f>
        <v>27647.087234855895</v>
      </c>
      <c r="G8" s="404">
        <f>STDEV($AP$22,$AP$23,$AP$24,$AP$25)</f>
        <v>621.38623155636878</v>
      </c>
      <c r="H8" s="404">
        <v>1242.7724631127376</v>
      </c>
      <c r="I8" s="406">
        <f>AVERAGE(AP14:AP21)</f>
        <v>11890.896387674613</v>
      </c>
      <c r="J8" s="406" t="e">
        <f>STDEV(AP14:AP21)</f>
        <v>#DIV/0!</v>
      </c>
      <c r="K8" s="406" t="e">
        <v>#DIV/0!</v>
      </c>
      <c r="L8" s="1324">
        <v>45.08951735823473</v>
      </c>
      <c r="M8" s="749" t="e">
        <v>#DIV/0!</v>
      </c>
      <c r="N8" s="861" t="e">
        <v>#DIV/0!</v>
      </c>
      <c r="O8" s="443">
        <v>0.874</v>
      </c>
      <c r="P8" s="443">
        <v>-0.51700000000000002</v>
      </c>
      <c r="Q8" s="779">
        <v>0.43464930200000002</v>
      </c>
      <c r="R8" s="790">
        <f t="shared" si="0"/>
        <v>0.23118640599962603</v>
      </c>
      <c r="S8" s="790">
        <v>1.7202915829612284</v>
      </c>
      <c r="T8" s="790">
        <v>2.0629757625703649</v>
      </c>
      <c r="U8" s="790">
        <v>0.14326647246722968</v>
      </c>
      <c r="V8" s="790">
        <v>0.19941770714190676</v>
      </c>
      <c r="W8" s="856">
        <f t="shared" si="1"/>
        <v>1.8635580554284581</v>
      </c>
      <c r="X8" s="404">
        <f t="shared" si="2"/>
        <v>24.195391834931602</v>
      </c>
      <c r="Y8" s="404" t="e">
        <f t="shared" si="3"/>
        <v>#DIV/0!</v>
      </c>
      <c r="Z8" s="404"/>
      <c r="AA8" s="859">
        <v>19.392812505798851</v>
      </c>
      <c r="AB8" s="404">
        <v>0.93996019112828033</v>
      </c>
      <c r="AC8" s="749">
        <v>1.8799203822565607</v>
      </c>
      <c r="AD8" s="404"/>
      <c r="AE8" s="870">
        <v>2.3250633369838458</v>
      </c>
      <c r="AF8" s="871" t="e">
        <v>#DIV/0!</v>
      </c>
      <c r="AG8" s="872" t="e">
        <v>#DIV/0!</v>
      </c>
      <c r="AH8" s="444" t="s">
        <v>477</v>
      </c>
      <c r="AI8" s="839"/>
      <c r="AJ8" s="309" t="s">
        <v>1352</v>
      </c>
      <c r="AK8" s="310">
        <v>-12.126606126519496</v>
      </c>
      <c r="AL8" s="310">
        <v>0.2303231794163442</v>
      </c>
      <c r="AM8" s="310">
        <v>-0.68971635812872512</v>
      </c>
      <c r="AN8" s="371">
        <v>7.5440649303073801</v>
      </c>
      <c r="AO8" s="310">
        <v>0.14925245343258089</v>
      </c>
      <c r="AP8" s="793">
        <v>3.6573683274701612</v>
      </c>
      <c r="AQ8" s="310">
        <v>3.8517494849029545</v>
      </c>
      <c r="AR8" s="310">
        <v>3.2410450615263556E-2</v>
      </c>
      <c r="AS8" s="792">
        <v>5.0056092502078764E-2</v>
      </c>
      <c r="AT8" s="310">
        <v>0.16965568861233649</v>
      </c>
      <c r="AU8" s="310">
        <v>1.3411434245711468E-2</v>
      </c>
      <c r="AV8" s="792">
        <v>0.26052177579009095</v>
      </c>
      <c r="AW8" s="310">
        <v>0.53461260472248018</v>
      </c>
      <c r="AX8" s="310">
        <v>5.4375090650940733E-2</v>
      </c>
      <c r="AY8" s="310">
        <v>2.4958122686494704E-2</v>
      </c>
      <c r="AZ8" s="310">
        <v>2.0777727799283628E-2</v>
      </c>
      <c r="BA8" s="310">
        <v>7.2387804005129069E-3</v>
      </c>
      <c r="BB8" s="310">
        <v>1.6589316163067299E-2</v>
      </c>
      <c r="BC8" s="310">
        <v>1.1636961163940023</v>
      </c>
      <c r="BD8" s="310"/>
      <c r="BE8" s="310"/>
      <c r="BF8" s="310">
        <v>4.1367535645952195E-3</v>
      </c>
      <c r="BG8" s="310">
        <v>9.9054749844701764E-3</v>
      </c>
      <c r="BH8" s="1376">
        <v>1.3259330366257229E-2</v>
      </c>
      <c r="BI8" s="1376">
        <v>8.89185195379983E-3</v>
      </c>
      <c r="BJ8" s="310">
        <v>2.1460819986513429E-2</v>
      </c>
      <c r="BK8" s="310">
        <v>1.3763422520504573E-2</v>
      </c>
      <c r="BL8" s="307"/>
      <c r="BM8" s="307"/>
      <c r="BN8" s="307"/>
      <c r="BO8" s="307"/>
      <c r="BP8" s="307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</row>
    <row r="9" spans="1:105" ht="17">
      <c r="A9" s="444" t="s">
        <v>476</v>
      </c>
      <c r="B9" s="444" t="s">
        <v>475</v>
      </c>
      <c r="C9" s="404">
        <f>AVERAGE(AQ26:AQ29)</f>
        <v>536073.1744519904</v>
      </c>
      <c r="D9" s="404">
        <f>STDEV(AQ26:AQ29)</f>
        <v>21705.06384899046</v>
      </c>
      <c r="E9" s="404">
        <v>43410.127697980919</v>
      </c>
      <c r="F9" s="404">
        <f>AVERAGE($AQ$22,$AQ$23,$AQ$24,$AQ$25)</f>
        <v>27474.686444924722</v>
      </c>
      <c r="G9" s="404">
        <f>STDEV($AQ$22,$AQ$23,$AQ$24,$AQ$25)</f>
        <v>589.60517555894671</v>
      </c>
      <c r="H9" s="404">
        <v>1179.2103511178934</v>
      </c>
      <c r="I9" s="404">
        <f>AVERAGE(AQ14:AQ21)</f>
        <v>264531.72349150176</v>
      </c>
      <c r="J9" s="404">
        <f>STDEV(AQ14:AQ21)</f>
        <v>30883.645062396783</v>
      </c>
      <c r="K9" s="404">
        <v>61767.290124793566</v>
      </c>
      <c r="L9" s="1322">
        <v>2.0264986269943992</v>
      </c>
      <c r="M9" s="790">
        <v>0.25041438203858107</v>
      </c>
      <c r="N9" s="876">
        <v>0.50082876407716215</v>
      </c>
      <c r="O9" s="443">
        <v>0.874</v>
      </c>
      <c r="P9" s="443">
        <v>-0.52</v>
      </c>
      <c r="Q9" s="779">
        <v>0.43464930200000002</v>
      </c>
      <c r="R9" s="790">
        <f t="shared" si="0"/>
        <v>0.23118640599962603</v>
      </c>
      <c r="S9" s="790">
        <v>1.7270646160224075</v>
      </c>
      <c r="T9" s="790">
        <v>2.0732822768751586</v>
      </c>
      <c r="U9" s="790">
        <v>0.14469916782107384</v>
      </c>
      <c r="V9" s="790">
        <v>0.20151849303167735</v>
      </c>
      <c r="W9" s="856">
        <f t="shared" si="1"/>
        <v>1.8717637838434813</v>
      </c>
      <c r="X9" s="404">
        <f t="shared" si="2"/>
        <v>1.0826679330407736</v>
      </c>
      <c r="Y9" s="404">
        <f t="shared" si="3"/>
        <v>0.13378524801050481</v>
      </c>
      <c r="Z9" s="404"/>
      <c r="AA9" s="859">
        <v>19.511530205325304</v>
      </c>
      <c r="AB9" s="404">
        <v>0.89410675211769675</v>
      </c>
      <c r="AC9" s="749">
        <v>1.7882135042353935</v>
      </c>
      <c r="AD9" s="404"/>
      <c r="AE9" s="870">
        <v>0.10386159392261837</v>
      </c>
      <c r="AF9" s="871">
        <v>1.2328816923144852E-2</v>
      </c>
      <c r="AG9" s="872">
        <v>2.4657633846289703E-2</v>
      </c>
      <c r="AH9" s="444" t="s">
        <v>475</v>
      </c>
      <c r="AJ9" s="309" t="s">
        <v>1396</v>
      </c>
      <c r="AK9" s="310">
        <v>-3.1662032472059778</v>
      </c>
      <c r="AL9" s="310">
        <v>0.20225866000588086</v>
      </c>
      <c r="AM9" s="310">
        <v>-0.47143112761063655</v>
      </c>
      <c r="AN9" s="371">
        <v>6.9092932226399846</v>
      </c>
      <c r="AO9" s="310">
        <v>0.13612653407620678</v>
      </c>
      <c r="AP9" s="310">
        <v>3.8346741724651556</v>
      </c>
      <c r="AQ9" s="310">
        <v>3.5779251791410394</v>
      </c>
      <c r="AR9" s="310">
        <v>3.5333822925922818E-2</v>
      </c>
      <c r="AS9" s="310">
        <v>4.1557673489598435E-2</v>
      </c>
      <c r="AT9" s="310">
        <v>0.16925132461268819</v>
      </c>
      <c r="AU9" s="310">
        <v>1.4498139319004472E-2</v>
      </c>
      <c r="AV9" s="310">
        <v>0.23888832446443162</v>
      </c>
      <c r="AW9" s="310">
        <v>0.48736205315243208</v>
      </c>
      <c r="AX9" s="310">
        <v>4.7092328244273826E-2</v>
      </c>
      <c r="AY9" s="310">
        <v>3.4785404465638173E-2</v>
      </c>
      <c r="AZ9" s="310">
        <v>3.3881095321761229E-3</v>
      </c>
      <c r="BA9" s="310">
        <v>1.8316013498320513E-3</v>
      </c>
      <c r="BB9" s="310">
        <v>1.2027201238115584E-2</v>
      </c>
      <c r="BC9" s="310">
        <v>-911.23002934712122</v>
      </c>
      <c r="BD9" s="310"/>
      <c r="BE9" s="310"/>
      <c r="BF9" s="310">
        <v>1.799521866592032E-3</v>
      </c>
      <c r="BG9" s="310">
        <v>1.2497193393584958E-3</v>
      </c>
      <c r="BH9" s="311">
        <v>0</v>
      </c>
      <c r="BI9" s="310">
        <v>0</v>
      </c>
      <c r="BJ9" s="310">
        <v>0</v>
      </c>
      <c r="BK9" s="310">
        <v>8.5004414571350287E-3</v>
      </c>
      <c r="BL9" s="307"/>
      <c r="BM9" s="307"/>
      <c r="BN9" s="307"/>
      <c r="BO9" s="307"/>
      <c r="BP9" s="307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</row>
    <row r="10" spans="1:105" ht="17">
      <c r="A10" s="407" t="s">
        <v>270</v>
      </c>
      <c r="B10" s="407" t="s">
        <v>9</v>
      </c>
      <c r="C10" s="1446">
        <f>AVERAGE(AR26:AR29)</f>
        <v>237.12038047032942</v>
      </c>
      <c r="D10" s="732">
        <f>STDEV(AR26:AR29)</f>
        <v>10.217677508378785</v>
      </c>
      <c r="E10" s="1446">
        <v>20.435355016757569</v>
      </c>
      <c r="F10" s="1447">
        <f>AVERAGE($AR$22,$AR$23,$AR$24,$AR$25)</f>
        <v>158.70057432279725</v>
      </c>
      <c r="G10" s="404">
        <f>STDEV($AR$22,$AR$23,$AR$24,$AR$25)</f>
        <v>3.5680683718521502</v>
      </c>
      <c r="H10" s="1447">
        <v>7.1361367437043004</v>
      </c>
      <c r="I10" s="1447">
        <f>AVERAGE(AR14:AR21)</f>
        <v>755.96936721811005</v>
      </c>
      <c r="J10" s="404">
        <f>STDEV(AR14:AR21)</f>
        <v>97.572020289586746</v>
      </c>
      <c r="K10" s="1447">
        <v>195.14404057917349</v>
      </c>
      <c r="L10" s="1326">
        <v>0.31366400644368458</v>
      </c>
      <c r="M10" s="1327">
        <v>4.2680841516057638E-2</v>
      </c>
      <c r="N10" s="1328">
        <v>8.5361683032115276E-2</v>
      </c>
      <c r="O10" s="404">
        <v>0.77</v>
      </c>
      <c r="P10" s="404">
        <v>1.39</v>
      </c>
      <c r="Q10" s="779">
        <v>0.43464930200000002</v>
      </c>
      <c r="R10" s="790">
        <f t="shared" si="0"/>
        <v>0.23118640599962603</v>
      </c>
      <c r="S10" s="790" cm="1">
        <f t="array" ref="S10:S12">O10:O12*(((1-(2*C47))/(1-C47))^P10:P12)</f>
        <v>7.6505724079335133E-2</v>
      </c>
      <c r="T10" s="790" cm="1">
        <f t="array" ref="T10:T12">O10:O12*(((1-(2*C46))/(1-C46))^P10:P12)</f>
        <v>0.12468154618017693</v>
      </c>
      <c r="U10" s="790">
        <v>2.4048035550940358E-2</v>
      </c>
      <c r="V10" s="790">
        <v>2.4127786549901442E-2</v>
      </c>
      <c r="W10" s="856">
        <f t="shared" si="1"/>
        <v>0.10055375963027549</v>
      </c>
      <c r="X10" s="404">
        <f t="shared" si="2"/>
        <v>3.1193662732949097</v>
      </c>
      <c r="Y10" s="404">
        <f t="shared" si="3"/>
        <v>0.42445793844994101</v>
      </c>
      <c r="Z10" s="404"/>
      <c r="AA10" s="877">
        <v>1.4941368768333891</v>
      </c>
      <c r="AB10" s="732">
        <v>7.2620164786596095E-2</v>
      </c>
      <c r="AC10" s="732">
        <v>0.14524032957319219</v>
      </c>
      <c r="AD10" s="404"/>
      <c r="AE10" s="869">
        <v>0.20992990087256991</v>
      </c>
      <c r="AF10" s="749">
        <v>2.7503403464853794E-2</v>
      </c>
      <c r="AG10" s="861">
        <v>5.5006806929707587E-2</v>
      </c>
      <c r="AH10" s="407" t="s">
        <v>9</v>
      </c>
      <c r="AJ10" s="396" t="s">
        <v>643</v>
      </c>
      <c r="AK10" s="401">
        <v>268.18407443756979</v>
      </c>
      <c r="AL10" s="401">
        <v>119.05329304206202</v>
      </c>
      <c r="AM10" s="400">
        <v>3.5445297537802496</v>
      </c>
      <c r="AN10" s="1034">
        <v>830000</v>
      </c>
      <c r="AO10" s="401">
        <v>8047.0583470971196</v>
      </c>
      <c r="AP10" s="401">
        <v>170691.52177734394</v>
      </c>
      <c r="AQ10" s="401">
        <v>179167.09638209344</v>
      </c>
      <c r="AR10" s="402">
        <v>1.5909482435460709</v>
      </c>
      <c r="AS10" s="403" t="s">
        <v>79</v>
      </c>
      <c r="AT10" s="403" t="s">
        <v>201</v>
      </c>
      <c r="AU10" s="403">
        <v>0.23391546839771177</v>
      </c>
      <c r="AV10" s="401">
        <v>18.731559567300607</v>
      </c>
      <c r="AW10" s="403" t="s">
        <v>642</v>
      </c>
      <c r="AX10" s="403" t="s">
        <v>641</v>
      </c>
      <c r="AY10" s="401">
        <v>24.237004984314758</v>
      </c>
      <c r="AZ10" s="401">
        <v>26.2770394944719</v>
      </c>
      <c r="BA10" s="402">
        <v>3.1904211382518759</v>
      </c>
      <c r="BB10" s="402">
        <v>5.508246253101019</v>
      </c>
      <c r="BC10" s="400" t="s">
        <v>640</v>
      </c>
      <c r="BD10" s="484"/>
      <c r="BE10" s="484"/>
      <c r="BF10" s="402">
        <v>3.0788318063258218</v>
      </c>
      <c r="BG10" s="402">
        <v>2.578370011353154</v>
      </c>
      <c r="BH10" s="401">
        <v>37.196972076226473</v>
      </c>
      <c r="BI10" s="401">
        <v>25.940538303100343</v>
      </c>
      <c r="BJ10" s="401">
        <v>28.261396674160672</v>
      </c>
      <c r="BK10" s="403" t="s">
        <v>192</v>
      </c>
      <c r="BL10" s="398"/>
      <c r="BM10" s="394">
        <v>49.473999023437493</v>
      </c>
      <c r="BN10" s="399">
        <v>1.3247371569418653</v>
      </c>
      <c r="BO10" s="398"/>
      <c r="BP10" s="398" t="s">
        <v>567</v>
      </c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</row>
    <row r="11" spans="1:105" ht="18" thickBot="1">
      <c r="A11" s="407" t="s">
        <v>270</v>
      </c>
      <c r="B11" s="407" t="s">
        <v>468</v>
      </c>
      <c r="C11" s="1447">
        <f>AVERAGE(AS26:AS29)</f>
        <v>45.477436642267207</v>
      </c>
      <c r="D11" s="404">
        <f>STDEV(AS26:AS29)</f>
        <v>6.1815639904717434</v>
      </c>
      <c r="E11" s="1447">
        <v>12.363127980943487</v>
      </c>
      <c r="F11" s="1447">
        <f>AVERAGE($AS$22,$AS$23,$AS$24,$AS$25)</f>
        <v>100.90277560469974</v>
      </c>
      <c r="G11" s="404">
        <f>STDEV($AS$22,$AS$23,$AS$24,$AS$25)</f>
        <v>4.7137736911932171</v>
      </c>
      <c r="H11" s="1447">
        <v>9.4275473823864342</v>
      </c>
      <c r="I11" s="1447">
        <f>AVERAGE(AS14:AS21)</f>
        <v>75.450436573148465</v>
      </c>
      <c r="J11" s="404">
        <f>STDEV(AS14:AS21)</f>
        <v>22.023489543641691</v>
      </c>
      <c r="K11" s="1447">
        <v>44.046979087283383</v>
      </c>
      <c r="L11" s="1322">
        <v>0.60274583829846062</v>
      </c>
      <c r="M11" s="790">
        <v>0.19407822730823468</v>
      </c>
      <c r="N11" s="876">
        <v>0.38815645461646936</v>
      </c>
      <c r="O11" s="404">
        <v>0.66</v>
      </c>
      <c r="P11" s="404">
        <v>0.99</v>
      </c>
      <c r="Q11" s="779">
        <v>0.43464930200000002</v>
      </c>
      <c r="R11" s="790">
        <f t="shared" si="0"/>
        <v>0.23118640599962603</v>
      </c>
      <c r="S11" s="790">
        <v>0.12744469361604041</v>
      </c>
      <c r="T11" s="790">
        <v>0.18046444984826102</v>
      </c>
      <c r="U11" s="790">
        <v>2.7389403567375098E-2</v>
      </c>
      <c r="V11" s="790">
        <v>2.5630352664845507E-2</v>
      </c>
      <c r="W11" s="856">
        <f t="shared" si="1"/>
        <v>0.15483409718341551</v>
      </c>
      <c r="X11" s="404">
        <f t="shared" si="2"/>
        <v>3.8928495031972941</v>
      </c>
      <c r="Y11" s="404">
        <f t="shared" si="3"/>
        <v>1.2534592240256408</v>
      </c>
      <c r="Z11" s="404"/>
      <c r="AA11" s="859">
        <v>0.45070550705593282</v>
      </c>
      <c r="AB11" s="404">
        <v>6.4779803056315269E-2</v>
      </c>
      <c r="AC11" s="732">
        <v>0.12955960611263054</v>
      </c>
      <c r="AD11" s="404"/>
      <c r="AE11" s="869">
        <v>1.3373385256276877</v>
      </c>
      <c r="AF11" s="749">
        <v>0.39532817254914837</v>
      </c>
      <c r="AG11" s="861">
        <v>0.79065634509829674</v>
      </c>
      <c r="AH11" s="407" t="s">
        <v>468</v>
      </c>
      <c r="AJ11" s="396" t="s">
        <v>639</v>
      </c>
      <c r="AK11" s="401">
        <v>355.17418031000989</v>
      </c>
      <c r="AL11" s="401">
        <v>123.95391264140562</v>
      </c>
      <c r="AM11" s="400">
        <v>-4.0065674478574573</v>
      </c>
      <c r="AN11" s="1034">
        <v>830000</v>
      </c>
      <c r="AO11" s="401">
        <v>7855.9869748288065</v>
      </c>
      <c r="AP11" s="401">
        <v>162262.59717790372</v>
      </c>
      <c r="AQ11" s="401">
        <v>173458.95619195062</v>
      </c>
      <c r="AR11" s="402">
        <v>1.6106109543128668</v>
      </c>
      <c r="AS11" s="403" t="s">
        <v>638</v>
      </c>
      <c r="AT11" s="403" t="s">
        <v>637</v>
      </c>
      <c r="AU11" s="403" t="s">
        <v>636</v>
      </c>
      <c r="AV11" s="401">
        <v>15.404801889321165</v>
      </c>
      <c r="AW11" s="403" t="s">
        <v>635</v>
      </c>
      <c r="AX11" s="403" t="s">
        <v>634</v>
      </c>
      <c r="AY11" s="401">
        <v>25.678757262711628</v>
      </c>
      <c r="AZ11" s="401">
        <v>26.55682180872709</v>
      </c>
      <c r="BA11" s="402">
        <v>3.204150653587408</v>
      </c>
      <c r="BB11" s="402">
        <v>5.1323370689495142</v>
      </c>
      <c r="BC11" s="400" t="s">
        <v>633</v>
      </c>
      <c r="BD11" s="484"/>
      <c r="BE11" s="484"/>
      <c r="BF11" s="402">
        <v>3.2637125308603592</v>
      </c>
      <c r="BG11" s="402">
        <v>2.4849907472328945</v>
      </c>
      <c r="BH11" s="401">
        <v>38.118622618646555</v>
      </c>
      <c r="BI11" s="401">
        <v>26.405330345725627</v>
      </c>
      <c r="BJ11" s="401">
        <v>29.204023171897543</v>
      </c>
      <c r="BK11" s="403" t="s">
        <v>632</v>
      </c>
      <c r="BL11" s="398"/>
      <c r="BM11" s="394">
        <v>39.193996429443395</v>
      </c>
      <c r="BN11" s="399">
        <v>1.1238741870616942</v>
      </c>
      <c r="BO11" s="398"/>
      <c r="BP11" s="398" t="s">
        <v>566</v>
      </c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</row>
    <row r="12" spans="1:105" ht="17">
      <c r="A12" s="407" t="s">
        <v>270</v>
      </c>
      <c r="B12" s="407" t="s">
        <v>461</v>
      </c>
      <c r="C12" s="406">
        <f>AVERAGE(AT26:AT29)</f>
        <v>57.83692644832432</v>
      </c>
      <c r="D12" s="406">
        <f>STDEV(AT26:AT29)</f>
        <v>50.815835757717565</v>
      </c>
      <c r="E12" s="406">
        <v>101.63167151543513</v>
      </c>
      <c r="F12" s="404">
        <f>AVERAGE($AT$22,$AT$23,$AT$24,$AT$25)</f>
        <v>83.8680849572184</v>
      </c>
      <c r="G12" s="404">
        <f>STDEV($AT$22,$AT$23,$AT$24,$AT$25)</f>
        <v>16.652340204653676</v>
      </c>
      <c r="H12" s="404">
        <v>33.304680409307352</v>
      </c>
      <c r="I12" s="404">
        <f>AVERAGE(AT14:AT21)</f>
        <v>84.088843461625117</v>
      </c>
      <c r="J12" s="404">
        <f>STDEV(AT14:AT21)</f>
        <v>33.944237164502937</v>
      </c>
      <c r="K12" s="404">
        <v>67.888474329005874</v>
      </c>
      <c r="L12" s="1323">
        <v>0.68780737214823096</v>
      </c>
      <c r="M12" s="571">
        <v>0.66504173183901949</v>
      </c>
      <c r="N12" s="862">
        <v>1.330083463678039</v>
      </c>
      <c r="O12" s="404">
        <v>0.66</v>
      </c>
      <c r="P12" s="404">
        <v>0.99</v>
      </c>
      <c r="Q12" s="779">
        <v>0.43464930200000002</v>
      </c>
      <c r="R12" s="790">
        <f t="shared" si="0"/>
        <v>0.23118640599962603</v>
      </c>
      <c r="S12" s="790">
        <v>0.12744469361604041</v>
      </c>
      <c r="T12" s="790">
        <v>0.18046444984826102</v>
      </c>
      <c r="U12" s="790">
        <v>2.7389403567375098E-2</v>
      </c>
      <c r="V12" s="790">
        <v>2.5630352664845507E-2</v>
      </c>
      <c r="W12" s="856">
        <f t="shared" si="1"/>
        <v>0.15483409718341551</v>
      </c>
      <c r="X12" s="404">
        <f t="shared" si="2"/>
        <v>4.4422216079024155</v>
      </c>
      <c r="Y12" s="404">
        <f t="shared" si="3"/>
        <v>4.2951891342849056</v>
      </c>
      <c r="Z12" s="404"/>
      <c r="AA12" s="857">
        <v>0.68961782634988356</v>
      </c>
      <c r="AB12" s="406">
        <v>0.62118112604854758</v>
      </c>
      <c r="AC12" s="571">
        <v>1.2423622520970952</v>
      </c>
      <c r="AD12" s="404"/>
      <c r="AE12" s="869">
        <v>0.99737469924286137</v>
      </c>
      <c r="AF12" s="749">
        <v>0.44867900805884298</v>
      </c>
      <c r="AG12" s="861">
        <v>0.89735801611768595</v>
      </c>
      <c r="AH12" s="407" t="s">
        <v>461</v>
      </c>
      <c r="AJ12" s="432" t="s">
        <v>43</v>
      </c>
      <c r="AK12" s="428">
        <v>23.13160140208387</v>
      </c>
      <c r="AL12" s="427">
        <v>21.659352537488854</v>
      </c>
      <c r="AM12" s="425">
        <v>11.404369306539731</v>
      </c>
      <c r="AN12" s="1035">
        <v>937000</v>
      </c>
      <c r="AO12" s="427">
        <v>4502.0156665258874</v>
      </c>
      <c r="AP12" s="427">
        <v>53895.447507208475</v>
      </c>
      <c r="AQ12" s="427">
        <v>54685.771331493081</v>
      </c>
      <c r="AR12" s="427">
        <v>142.41745665735652</v>
      </c>
      <c r="AS12" s="430" t="s">
        <v>545</v>
      </c>
      <c r="AT12" s="430" t="s">
        <v>426</v>
      </c>
      <c r="AU12" s="427">
        <v>55.630493638396075</v>
      </c>
      <c r="AV12" s="427">
        <v>176.74602377982072</v>
      </c>
      <c r="AW12" s="427">
        <v>177.84702016594082</v>
      </c>
      <c r="AX12" s="428">
        <v>4.6919874263284731</v>
      </c>
      <c r="AY12" s="428">
        <v>5.4914963082661288</v>
      </c>
      <c r="AZ12" s="427">
        <v>19.670901973339372</v>
      </c>
      <c r="BA12" s="428">
        <v>2.0268624060637008</v>
      </c>
      <c r="BB12" s="428">
        <v>1.4164781769971762</v>
      </c>
      <c r="BC12" s="425" t="s">
        <v>631</v>
      </c>
      <c r="BD12" s="488"/>
      <c r="BE12" s="488"/>
      <c r="BF12" s="428">
        <v>2.8031460453602977</v>
      </c>
      <c r="BG12" s="428">
        <v>1.1264141382613559</v>
      </c>
      <c r="BH12" s="428">
        <v>9.5325413932270386</v>
      </c>
      <c r="BI12" s="427">
        <v>14.886117715989053</v>
      </c>
      <c r="BJ12" s="427">
        <v>29.272014884849732</v>
      </c>
      <c r="BK12" s="425">
        <v>0.69371518673896149</v>
      </c>
      <c r="BL12" s="422"/>
      <c r="BM12" s="424">
        <v>44.976999282836893</v>
      </c>
      <c r="BN12" s="423">
        <v>1.2344337153730744</v>
      </c>
      <c r="BO12" s="422"/>
      <c r="BP12" s="421" t="s">
        <v>564</v>
      </c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</row>
    <row r="13" spans="1:105" ht="18" thickBot="1">
      <c r="A13" s="407" t="s">
        <v>270</v>
      </c>
      <c r="B13" s="407" t="s">
        <v>457</v>
      </c>
      <c r="C13" s="1446">
        <f>AVERAGE(AU26:AU29)</f>
        <v>132.38791084981909</v>
      </c>
      <c r="D13" s="732">
        <f>STDEV(AU26:AU29)</f>
        <v>15.587442666601794</v>
      </c>
      <c r="E13" s="1446">
        <v>31.174885333203587</v>
      </c>
      <c r="F13" s="1561">
        <f>AVERAGE($AU$22,$AU$23,$AU$24,$AU$25)</f>
        <v>0.18934946490352905</v>
      </c>
      <c r="G13" s="804">
        <f>STDEV($AU$22,$AU$23,$AU$24,$AU$25)</f>
        <v>0.10010385357480903</v>
      </c>
      <c r="H13" s="1561">
        <v>0.20020770714961805</v>
      </c>
      <c r="I13" s="1553">
        <f>AVERAGE(AU14:AU21)</f>
        <v>17.063808164643415</v>
      </c>
      <c r="J13" s="406">
        <f>STDEV(AU14:AU21)</f>
        <v>36.675484392409253</v>
      </c>
      <c r="K13" s="1553">
        <v>73.350968784818505</v>
      </c>
      <c r="L13" s="1323">
        <v>7.758403609115212</v>
      </c>
      <c r="M13" s="571">
        <v>16.700248414117944</v>
      </c>
      <c r="N13" s="862">
        <v>33.400496828235887</v>
      </c>
      <c r="O13" s="404">
        <v>0.76</v>
      </c>
      <c r="P13" s="404">
        <v>-2.81</v>
      </c>
      <c r="Q13" s="779">
        <v>0.43464930200000002</v>
      </c>
      <c r="R13" s="790">
        <f t="shared" si="0"/>
        <v>0.23118640599962603</v>
      </c>
      <c r="S13" s="790" cm="1">
        <f t="array" ref="S13:S20">O13:O20*(((1-(2*C46))/(1-C46))^P13:P20)</f>
        <v>30.147819357471032</v>
      </c>
      <c r="T13" s="790" cm="1">
        <f t="array" ref="T13:T20">O13:O20*(((1-(2*C47))/(1-C47))^P13:P20)</f>
        <v>80.918957547248169</v>
      </c>
      <c r="U13" s="790">
        <v>16.419318673167059</v>
      </c>
      <c r="V13" s="790">
        <v>34.351819516610078</v>
      </c>
      <c r="W13" s="856">
        <f t="shared" si="1"/>
        <v>46.567138030638091</v>
      </c>
      <c r="X13" s="404">
        <f t="shared" si="2"/>
        <v>0.16660683772343271</v>
      </c>
      <c r="Y13" s="404">
        <f t="shared" si="3"/>
        <v>0.35862733078271392</v>
      </c>
      <c r="Z13" s="404"/>
      <c r="AA13" s="857">
        <v>699.17235265105671</v>
      </c>
      <c r="AB13" s="406">
        <v>378.68911676246478</v>
      </c>
      <c r="AC13" s="571">
        <v>757.37823352492956</v>
      </c>
      <c r="AD13" s="790">
        <f>AVERAGE(AU24,AU25)/I13</f>
        <v>1.1096553774899163E-2</v>
      </c>
      <c r="AE13" s="868">
        <v>1.1096553774899163E-2</v>
      </c>
      <c r="AF13" s="571">
        <v>2.456087743089562E-2</v>
      </c>
      <c r="AG13" s="862">
        <v>4.9121754861791239E-2</v>
      </c>
      <c r="AH13" s="407" t="s">
        <v>457</v>
      </c>
      <c r="AJ13" s="420" t="s">
        <v>45</v>
      </c>
      <c r="AK13" s="414">
        <v>-8.3370144892825699</v>
      </c>
      <c r="AL13" s="414">
        <v>24.34513402428767</v>
      </c>
      <c r="AM13" s="413">
        <v>8.7453586063495461</v>
      </c>
      <c r="AN13" s="1036">
        <v>937000</v>
      </c>
      <c r="AO13" s="414">
        <v>4697.8609211549856</v>
      </c>
      <c r="AP13" s="414">
        <v>56101.807212199295</v>
      </c>
      <c r="AQ13" s="414">
        <v>55312.608928938091</v>
      </c>
      <c r="AR13" s="414">
        <v>147.5771372610217</v>
      </c>
      <c r="AS13" s="418" t="s">
        <v>630</v>
      </c>
      <c r="AT13" s="418" t="s">
        <v>458</v>
      </c>
      <c r="AU13" s="414">
        <v>60.35484200278264</v>
      </c>
      <c r="AV13" s="414">
        <v>177.25311772375818</v>
      </c>
      <c r="AW13" s="414">
        <v>176.15738221553852</v>
      </c>
      <c r="AX13" s="415">
        <v>3.9101874744901703</v>
      </c>
      <c r="AY13" s="415">
        <v>7.3053902815669023</v>
      </c>
      <c r="AZ13" s="414">
        <v>20.328588980344794</v>
      </c>
      <c r="BA13" s="415">
        <v>2.1727729909121942</v>
      </c>
      <c r="BB13" s="415">
        <v>1.4434754475112905</v>
      </c>
      <c r="BC13" s="413" t="s">
        <v>629</v>
      </c>
      <c r="BD13" s="486"/>
      <c r="BE13" s="487"/>
      <c r="BF13" s="415">
        <v>2.8964767416000874</v>
      </c>
      <c r="BG13" s="415">
        <v>1.1535118077444186</v>
      </c>
      <c r="BH13" s="415">
        <v>9.3477294372914539</v>
      </c>
      <c r="BI13" s="414">
        <v>15.313177875887019</v>
      </c>
      <c r="BJ13" s="414">
        <v>30.92346706393116</v>
      </c>
      <c r="BK13" s="413">
        <v>0.62663891799490135</v>
      </c>
      <c r="BL13" s="410"/>
      <c r="BM13" s="412">
        <v>47.54699897766109</v>
      </c>
      <c r="BN13" s="411">
        <v>1.1488368037751666</v>
      </c>
      <c r="BO13" s="410"/>
      <c r="BP13" s="409" t="s">
        <v>562</v>
      </c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</row>
    <row r="14" spans="1:105" ht="17">
      <c r="A14" s="407" t="s">
        <v>270</v>
      </c>
      <c r="B14" s="407" t="s">
        <v>453</v>
      </c>
      <c r="C14" s="406">
        <f>AVERAGE(AV26:AV29)</f>
        <v>526.38739645404814</v>
      </c>
      <c r="D14" s="406">
        <f>STDEV(AV26:AV29)</f>
        <v>510.05814243066618</v>
      </c>
      <c r="E14" s="406">
        <v>1020.1162848613324</v>
      </c>
      <c r="F14" s="1447">
        <f>AVERAGE($AV$22,$AV$23,$AV$24,$AV$25)</f>
        <v>12.069794517856661</v>
      </c>
      <c r="G14" s="404">
        <f>STDEV($AV$22,$AV$23,$AV$24,$AV$25)</f>
        <v>1.1038743165723826</v>
      </c>
      <c r="H14" s="1447">
        <v>2.2077486331447651</v>
      </c>
      <c r="I14" s="1449">
        <f>AVERAGE(AV14:AV21)</f>
        <v>13.299999465068824</v>
      </c>
      <c r="J14" s="404">
        <f>STDEV($AV14:AV21)</f>
        <v>1.5747887617853551</v>
      </c>
      <c r="K14" s="1444">
        <v>3.1495775235707102</v>
      </c>
      <c r="L14" s="1323">
        <v>39.578001325229692</v>
      </c>
      <c r="M14" s="571">
        <v>38.635496468849404</v>
      </c>
      <c r="N14" s="862">
        <v>77.270992937698807</v>
      </c>
      <c r="O14" s="441">
        <v>0.63</v>
      </c>
      <c r="P14" s="404">
        <v>-3.23</v>
      </c>
      <c r="Q14" s="779">
        <v>0.43464930200000002</v>
      </c>
      <c r="R14" s="790">
        <f t="shared" si="0"/>
        <v>0.23118640599962603</v>
      </c>
      <c r="S14" s="790">
        <v>43.320748053719534</v>
      </c>
      <c r="T14" s="790">
        <v>134.76607647057668</v>
      </c>
      <c r="U14" s="790">
        <v>28.086507417205659</v>
      </c>
      <c r="V14" s="790">
        <v>63.358820999651485</v>
      </c>
      <c r="W14" s="856">
        <f t="shared" si="1"/>
        <v>71.407255470925193</v>
      </c>
      <c r="X14" s="404">
        <f t="shared" si="2"/>
        <v>0.55425742194145267</v>
      </c>
      <c r="Y14" s="404">
        <f t="shared" si="3"/>
        <v>0.54105841505952534</v>
      </c>
      <c r="Z14" s="404"/>
      <c r="AA14" s="857">
        <v>43.611960060735434</v>
      </c>
      <c r="AB14" s="406">
        <v>42.446875515071817</v>
      </c>
      <c r="AC14" s="571">
        <v>84.893751030143633</v>
      </c>
      <c r="AD14" s="790"/>
      <c r="AE14" s="869">
        <v>0.90750338370740702</v>
      </c>
      <c r="AF14" s="749">
        <v>0.13577499036806251</v>
      </c>
      <c r="AG14" s="861">
        <v>0.27154998073612502</v>
      </c>
      <c r="AH14" s="407" t="s">
        <v>453</v>
      </c>
      <c r="AJ14" s="976" t="s">
        <v>561</v>
      </c>
      <c r="AK14" s="977">
        <v>34.565454483791903</v>
      </c>
      <c r="AL14" s="977" t="s">
        <v>626</v>
      </c>
      <c r="AM14" s="978" t="s">
        <v>625</v>
      </c>
      <c r="AN14" s="1037">
        <v>413100</v>
      </c>
      <c r="AO14" s="979">
        <v>411.59620191738099</v>
      </c>
      <c r="AP14" s="979"/>
      <c r="AQ14" s="979">
        <v>251892.4053013387</v>
      </c>
      <c r="AR14" s="979">
        <v>724.65678027663739</v>
      </c>
      <c r="AS14" s="979">
        <v>71.133812572305416</v>
      </c>
      <c r="AT14" s="979">
        <v>37.070055116525189</v>
      </c>
      <c r="AU14" s="980">
        <v>3.306242294627491</v>
      </c>
      <c r="AV14" s="979">
        <v>14.264727994260319</v>
      </c>
      <c r="AW14" s="980">
        <v>7.3031885227186413</v>
      </c>
      <c r="AX14" s="979">
        <v>56.999334170878434</v>
      </c>
      <c r="AY14" s="979">
        <v>169.87758318763548</v>
      </c>
      <c r="AZ14" s="980">
        <v>7.6468835198753951</v>
      </c>
      <c r="BA14" s="980">
        <v>8.2198336211562886</v>
      </c>
      <c r="BB14" s="979">
        <v>42.919197255767671</v>
      </c>
      <c r="BC14" s="979">
        <v>9328.312541643234</v>
      </c>
      <c r="BD14" s="981"/>
      <c r="BE14" s="982"/>
      <c r="BF14" s="978">
        <v>0.6215148585462017</v>
      </c>
      <c r="BG14" s="978">
        <v>0.14075030448067871</v>
      </c>
      <c r="BH14" s="978">
        <v>2.1352979632270591E-2</v>
      </c>
      <c r="BI14" s="978">
        <v>0.10665372038755165</v>
      </c>
      <c r="BJ14" s="978">
        <v>0.74391102340494142</v>
      </c>
      <c r="BK14" s="979">
        <v>44.008097199382881</v>
      </c>
      <c r="BL14" s="983"/>
      <c r="BM14" s="984">
        <v>50.116998672485295</v>
      </c>
      <c r="BN14" s="985">
        <v>3.6670432247091926</v>
      </c>
      <c r="BO14" s="983"/>
      <c r="BP14" s="983" t="s">
        <v>558</v>
      </c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</row>
    <row r="15" spans="1:105" ht="17">
      <c r="A15" s="407" t="s">
        <v>270</v>
      </c>
      <c r="B15" s="407" t="s">
        <v>449</v>
      </c>
      <c r="C15" s="406">
        <f>AVERAGE(AW26:AW29)</f>
        <v>569.08571662371264</v>
      </c>
      <c r="D15" s="406">
        <f>STDEV(AW26:AW29)</f>
        <v>561.39829418964553</v>
      </c>
      <c r="E15" s="406">
        <v>1122.7965883792911</v>
      </c>
      <c r="F15" s="406">
        <f>AVERAGE($AW$22,$AW$23,$AW$24,$AW$25)</f>
        <v>4.6831574760518899</v>
      </c>
      <c r="G15" s="406" t="e">
        <f>STDEV($AW$22,$AW$23,$AW$24,$AW$25)</f>
        <v>#DIV/0!</v>
      </c>
      <c r="H15" s="406" t="e">
        <v>#DIV/0!</v>
      </c>
      <c r="I15" s="404">
        <f>AVERAGE(AW14:AW21)</f>
        <v>7.5389234251575328</v>
      </c>
      <c r="J15" s="404">
        <f>STDEV(AW14:AW21)</f>
        <v>1.5279719501600662</v>
      </c>
      <c r="K15" s="404">
        <v>3.0559439003201323</v>
      </c>
      <c r="L15" s="1323">
        <v>75.486337309736115</v>
      </c>
      <c r="M15" s="571">
        <v>76.022049879302926</v>
      </c>
      <c r="N15" s="862">
        <v>152.04409975860585</v>
      </c>
      <c r="O15" s="441">
        <v>0.63</v>
      </c>
      <c r="P15" s="404">
        <v>-3.23</v>
      </c>
      <c r="Q15" s="779">
        <v>0.43464930200000002</v>
      </c>
      <c r="R15" s="790">
        <f t="shared" si="0"/>
        <v>0.23118640599962603</v>
      </c>
      <c r="S15" s="790">
        <v>43.320748053719534</v>
      </c>
      <c r="T15" s="790">
        <v>134.76607647057668</v>
      </c>
      <c r="U15" s="790">
        <v>28.086507417205659</v>
      </c>
      <c r="V15" s="790">
        <v>63.358820999651485</v>
      </c>
      <c r="W15" s="856">
        <f t="shared" si="1"/>
        <v>71.407255470925193</v>
      </c>
      <c r="X15" s="404">
        <f t="shared" si="2"/>
        <v>1.0571241929396347</v>
      </c>
      <c r="Y15" s="404">
        <f t="shared" si="3"/>
        <v>1.0646264077500742</v>
      </c>
      <c r="Z15" s="404"/>
      <c r="AA15" s="857">
        <v>121.51752733787573</v>
      </c>
      <c r="AB15" s="406" t="e">
        <v>#DIV/0!</v>
      </c>
      <c r="AC15" s="571" t="e">
        <v>#DIV/0!</v>
      </c>
      <c r="AD15" s="790"/>
      <c r="AE15" s="868">
        <v>0.62119711422245028</v>
      </c>
      <c r="AF15" s="571" t="e">
        <v>#DIV/0!</v>
      </c>
      <c r="AG15" s="862" t="e">
        <v>#DIV/0!</v>
      </c>
      <c r="AH15" s="407" t="s">
        <v>449</v>
      </c>
      <c r="AJ15" s="976" t="s">
        <v>523</v>
      </c>
      <c r="AK15" s="986">
        <v>-9.7001447014513662</v>
      </c>
      <c r="AL15" s="986" t="s">
        <v>345</v>
      </c>
      <c r="AM15" s="979" t="s">
        <v>599</v>
      </c>
      <c r="AN15" s="1037">
        <v>413100</v>
      </c>
      <c r="AO15" s="979">
        <v>438.42790888495733</v>
      </c>
      <c r="AP15" s="979"/>
      <c r="AQ15" s="979">
        <v>313046.68357930519</v>
      </c>
      <c r="AR15" s="979">
        <v>956.63371916948222</v>
      </c>
      <c r="AS15" s="979">
        <v>69.635440090993242</v>
      </c>
      <c r="AT15" s="979">
        <v>81.985381220407319</v>
      </c>
      <c r="AU15" s="980">
        <v>5.5165382891031918</v>
      </c>
      <c r="AV15" s="979">
        <v>14.213765812342487</v>
      </c>
      <c r="AW15" s="980">
        <v>8.8279432686378563</v>
      </c>
      <c r="AX15" s="979">
        <v>74.202460789762611</v>
      </c>
      <c r="AY15" s="979">
        <v>177.48986513126869</v>
      </c>
      <c r="AZ15" s="980">
        <v>5.6897597199319989</v>
      </c>
      <c r="BA15" s="980">
        <v>5.1586565711405319</v>
      </c>
      <c r="BB15" s="979">
        <v>33.268104938741082</v>
      </c>
      <c r="BC15" s="979">
        <v>24287.38856664189</v>
      </c>
      <c r="BD15" s="981"/>
      <c r="BE15" s="981"/>
      <c r="BF15" s="978">
        <v>0.5292945809779489</v>
      </c>
      <c r="BG15" s="978">
        <v>0.13785948903171569</v>
      </c>
      <c r="BH15" s="978">
        <v>5.575072750213405E-2</v>
      </c>
      <c r="BI15" s="978">
        <v>0.11864452644286784</v>
      </c>
      <c r="BJ15" s="978">
        <v>0.70328728420557329</v>
      </c>
      <c r="BK15" s="979">
        <v>44.705904041284619</v>
      </c>
      <c r="BL15" s="983"/>
      <c r="BM15" s="984">
        <v>48.8319988250732</v>
      </c>
      <c r="BN15" s="985">
        <v>5.2404627458081947</v>
      </c>
      <c r="BO15" s="983"/>
      <c r="BP15" s="983" t="s">
        <v>508</v>
      </c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</row>
    <row r="16" spans="1:105" ht="17">
      <c r="A16" s="407" t="s">
        <v>270</v>
      </c>
      <c r="B16" s="407" t="s">
        <v>13</v>
      </c>
      <c r="C16" s="1446">
        <f>AVERAGE(AX26:AX29)</f>
        <v>475.39844380878532</v>
      </c>
      <c r="D16" s="732">
        <f>STDEV(AX26:AX29)</f>
        <v>50.774598070482476</v>
      </c>
      <c r="E16" s="1446">
        <v>101.54919614096495</v>
      </c>
      <c r="F16" s="406">
        <f>AVERAGE($AX$22,$AX$23,$AX$24,$AX$25)</f>
        <v>0.57559950978546748</v>
      </c>
      <c r="G16" s="406" t="e">
        <f>STDEV($AX$22,$AX$23,$AX$24,$AX$25)</f>
        <v>#DIV/0!</v>
      </c>
      <c r="H16" s="406" t="e">
        <v>#DIV/0!</v>
      </c>
      <c r="I16" s="1447">
        <f>AVERAGE(AX14:AX21)</f>
        <v>64.369737277601217</v>
      </c>
      <c r="J16" s="404">
        <f>STDEV(AX14:AX21)</f>
        <v>10.505083778675681</v>
      </c>
      <c r="K16" s="1447">
        <v>21.010167557351362</v>
      </c>
      <c r="L16" s="1324">
        <v>7.3854339619032441</v>
      </c>
      <c r="M16" s="749">
        <v>1.4404646228192564</v>
      </c>
      <c r="N16" s="861">
        <v>2.8809292456385127</v>
      </c>
      <c r="O16" s="441">
        <v>0.23</v>
      </c>
      <c r="P16" s="404">
        <v>-2</v>
      </c>
      <c r="Q16" s="779">
        <v>0.43464930200000002</v>
      </c>
      <c r="R16" s="790">
        <f t="shared" si="0"/>
        <v>0.23118640599962603</v>
      </c>
      <c r="S16" s="790">
        <v>3.1579787035277191</v>
      </c>
      <c r="T16" s="790">
        <v>6.3767724943571302</v>
      </c>
      <c r="U16" s="790">
        <v>1.1453374024550098</v>
      </c>
      <c r="V16" s="790">
        <v>2.0734563883744013</v>
      </c>
      <c r="W16" s="856">
        <f t="shared" si="1"/>
        <v>4.303316105982729</v>
      </c>
      <c r="X16" s="404">
        <f t="shared" si="2"/>
        <v>1.7162192551078388</v>
      </c>
      <c r="Y16" s="404">
        <f t="shared" si="3"/>
        <v>0.33473363037789294</v>
      </c>
      <c r="Z16" s="404"/>
      <c r="AA16" s="857">
        <v>825.91877812052303</v>
      </c>
      <c r="AB16" s="406" t="e">
        <v>#DIV/0!</v>
      </c>
      <c r="AC16" s="571" t="e">
        <v>#DIV/0!</v>
      </c>
      <c r="AD16" s="790">
        <f>AVERAGE(AX24)/I16</f>
        <v>8.9420826327616422E-3</v>
      </c>
      <c r="AE16" s="868">
        <v>8.9420826327616422E-3</v>
      </c>
      <c r="AF16" s="571" t="e">
        <v>#DIV/0!</v>
      </c>
      <c r="AG16" s="862" t="e">
        <v>#DIV/0!</v>
      </c>
      <c r="AH16" s="407" t="s">
        <v>13</v>
      </c>
      <c r="AJ16" s="976" t="s">
        <v>519</v>
      </c>
      <c r="AK16" s="986">
        <v>-5.653070555522488</v>
      </c>
      <c r="AL16" s="986" t="s">
        <v>197</v>
      </c>
      <c r="AM16" s="979" t="s">
        <v>597</v>
      </c>
      <c r="AN16" s="1037">
        <v>413100</v>
      </c>
      <c r="AO16" s="979">
        <v>429.38774400134685</v>
      </c>
      <c r="AP16" s="979"/>
      <c r="AQ16" s="979">
        <v>281422.41941185499</v>
      </c>
      <c r="AR16" s="979">
        <v>784.93001800196623</v>
      </c>
      <c r="AS16" s="979">
        <v>65.602222215125721</v>
      </c>
      <c r="AT16" s="979">
        <v>86.57415991225065</v>
      </c>
      <c r="AU16" s="980">
        <v>3.8200785658399075</v>
      </c>
      <c r="AV16" s="979">
        <v>14.197559025080166</v>
      </c>
      <c r="AW16" s="980">
        <v>8.5493237652314686</v>
      </c>
      <c r="AX16" s="979">
        <v>65.220465625241189</v>
      </c>
      <c r="AY16" s="979">
        <v>167.13756131748664</v>
      </c>
      <c r="AZ16" s="980">
        <v>8.561126663532578</v>
      </c>
      <c r="BA16" s="980">
        <v>8.7842965737413863</v>
      </c>
      <c r="BB16" s="979">
        <v>48.304918786784754</v>
      </c>
      <c r="BC16" s="979">
        <v>24263.726834537032</v>
      </c>
      <c r="BD16" s="981"/>
      <c r="BE16" s="981"/>
      <c r="BF16" s="978">
        <v>0.55887119431426069</v>
      </c>
      <c r="BG16" s="978">
        <v>0.17617226595841087</v>
      </c>
      <c r="BH16" s="978">
        <v>6.6311817394072284E-2</v>
      </c>
      <c r="BI16" s="978">
        <v>0.14078035161141186</v>
      </c>
      <c r="BJ16" s="978">
        <v>0.86224676093350328</v>
      </c>
      <c r="BK16" s="979">
        <v>50.685595562103742</v>
      </c>
      <c r="BL16" s="983"/>
      <c r="BM16" s="984">
        <v>48.188999176025291</v>
      </c>
      <c r="BN16" s="985">
        <v>5.5365735431469698</v>
      </c>
      <c r="BO16" s="983"/>
      <c r="BP16" s="983" t="s">
        <v>515</v>
      </c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</row>
    <row r="17" spans="1:105" ht="17">
      <c r="A17" s="435" t="s">
        <v>444</v>
      </c>
      <c r="B17" s="435" t="s">
        <v>443</v>
      </c>
      <c r="C17" s="1448">
        <f>AVERAGE(AY63:AY66)</f>
        <v>226.89892276773799</v>
      </c>
      <c r="D17" s="433">
        <f>STDEV(AY63:AY66)</f>
        <v>13.584394093712799</v>
      </c>
      <c r="E17" s="1448">
        <v>27.168788187425598</v>
      </c>
      <c r="F17" s="1448">
        <f>AVERAGE($AY$59,$AY$60,$AY$61,$AY$62)</f>
        <v>378.99330698539609</v>
      </c>
      <c r="G17" s="433">
        <f>STDEV($AY$59,$AY$60,$AY$61,$AY$62)</f>
        <v>11.198035230062423</v>
      </c>
      <c r="H17" s="1448">
        <v>22.396070460124847</v>
      </c>
      <c r="I17" s="1448">
        <f>AVERAGE(AY51:AY58)</f>
        <v>173.75488682610296</v>
      </c>
      <c r="J17" s="433">
        <f>STDEV(AY51:AY58)</f>
        <v>18.43892719264775</v>
      </c>
      <c r="K17" s="1448">
        <v>36.8778543852955</v>
      </c>
      <c r="L17" s="930">
        <v>1.3058563526608753</v>
      </c>
      <c r="M17" s="570">
        <v>0.15911054231145313</v>
      </c>
      <c r="N17" s="879">
        <v>0.31822108462290627</v>
      </c>
      <c r="O17" s="440">
        <v>0.67</v>
      </c>
      <c r="P17" s="433">
        <v>-1.33</v>
      </c>
      <c r="Q17" s="778">
        <v>0.43464930200000002</v>
      </c>
      <c r="R17" s="570">
        <f t="shared" si="0"/>
        <v>0.23118640599962603</v>
      </c>
      <c r="S17" s="570">
        <v>3.8250129311804577</v>
      </c>
      <c r="T17" s="570">
        <v>6.1035907395748277</v>
      </c>
      <c r="U17" s="570">
        <v>0.87398173765011444</v>
      </c>
      <c r="V17" s="570">
        <v>1.4045960707442555</v>
      </c>
      <c r="W17" s="888">
        <f t="shared" si="1"/>
        <v>4.6989946688305722</v>
      </c>
      <c r="X17" s="433">
        <f t="shared" si="2"/>
        <v>0.27790122030205683</v>
      </c>
      <c r="Y17" s="433">
        <f t="shared" si="3"/>
        <v>3.3860549654773413E-2</v>
      </c>
      <c r="Z17" s="433"/>
      <c r="AA17" s="885">
        <v>0.59868846912507923</v>
      </c>
      <c r="AB17" s="570">
        <v>3.9970722619937886E-2</v>
      </c>
      <c r="AC17" s="1492">
        <v>7.9941445239875772E-2</v>
      </c>
      <c r="AD17" s="433"/>
      <c r="AE17" s="873">
        <v>2.1811950956216815</v>
      </c>
      <c r="AF17" s="573">
        <v>0.24027365140237963</v>
      </c>
      <c r="AG17" s="864">
        <v>0.48054730280475927</v>
      </c>
      <c r="AH17" s="435" t="s">
        <v>443</v>
      </c>
      <c r="AJ17" s="976" t="s">
        <v>514</v>
      </c>
      <c r="AK17" s="978">
        <v>-13.57732800264391</v>
      </c>
      <c r="AL17" s="977" t="s">
        <v>205</v>
      </c>
      <c r="AM17" s="978" t="s">
        <v>596</v>
      </c>
      <c r="AN17" s="1037">
        <v>413100</v>
      </c>
      <c r="AO17" s="979">
        <v>394.17348629296134</v>
      </c>
      <c r="AP17" s="979"/>
      <c r="AQ17" s="979">
        <v>242161.677114661</v>
      </c>
      <c r="AR17" s="979">
        <v>729.83215491945248</v>
      </c>
      <c r="AS17" s="979">
        <v>69.923935223620546</v>
      </c>
      <c r="AT17" s="979">
        <v>107.94250601803382</v>
      </c>
      <c r="AU17" s="980">
        <v>4.009096284803789</v>
      </c>
      <c r="AV17" s="979">
        <v>13.072605077835275</v>
      </c>
      <c r="AW17" s="980">
        <v>7.109194669123327</v>
      </c>
      <c r="AX17" s="979">
        <v>64.549598087555296</v>
      </c>
      <c r="AY17" s="979">
        <v>189.2959884847678</v>
      </c>
      <c r="AZ17" s="980">
        <v>6.5369991730951309</v>
      </c>
      <c r="BA17" s="980">
        <v>6.8706960359435998</v>
      </c>
      <c r="BB17" s="979">
        <v>35.698068221705363</v>
      </c>
      <c r="BC17" s="979">
        <v>23186.966977339678</v>
      </c>
      <c r="BD17" s="981"/>
      <c r="BE17" s="981"/>
      <c r="BF17" s="978">
        <v>0.71065874516837968</v>
      </c>
      <c r="BG17" s="978">
        <v>0.10913914674056381</v>
      </c>
      <c r="BH17" s="978">
        <v>2.7644757511858582E-2</v>
      </c>
      <c r="BI17" s="978">
        <v>8.2924783668721372E-2</v>
      </c>
      <c r="BJ17" s="978">
        <v>0.55871049038297971</v>
      </c>
      <c r="BK17" s="979">
        <v>36.106016672158177</v>
      </c>
      <c r="BL17" s="983"/>
      <c r="BM17" s="984">
        <v>50.116996765136797</v>
      </c>
      <c r="BN17" s="985">
        <v>6.0939988547153021</v>
      </c>
      <c r="BO17" s="983"/>
      <c r="BP17" s="983" t="s">
        <v>508</v>
      </c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</row>
    <row r="18" spans="1:105" ht="17">
      <c r="A18" s="407" t="s">
        <v>270</v>
      </c>
      <c r="B18" s="407" t="s">
        <v>440</v>
      </c>
      <c r="C18" s="406">
        <f>AVERAGE(AZ26:AZ29)</f>
        <v>653.28424566299509</v>
      </c>
      <c r="D18" s="406">
        <f>STDEV(AZ26:AZ29)</f>
        <v>472.4013235165321</v>
      </c>
      <c r="E18" s="406">
        <v>944.8026470330642</v>
      </c>
      <c r="F18" s="1444">
        <f>AVERAGE($AZ$22,$AZ$23,$AZ$24,$AZ$25)</f>
        <v>3.2209254222709669</v>
      </c>
      <c r="G18" s="404">
        <f>STDEV($AZ$22,$AZ$23,$AZ$24,$AZ$25)</f>
        <v>0.79333305577250612</v>
      </c>
      <c r="H18" s="1444">
        <v>1.5866661115450122</v>
      </c>
      <c r="I18" s="1444">
        <f>AVERAGE(AZ14:AZ21)</f>
        <v>6.4394903846443601</v>
      </c>
      <c r="J18" s="404">
        <f>STDEV(AZ14:AZ21)</f>
        <v>2.3278383534530231</v>
      </c>
      <c r="K18" s="1444">
        <v>4.6556767069060463</v>
      </c>
      <c r="L18" s="1323">
        <v>101.4496810525286</v>
      </c>
      <c r="M18" s="571">
        <v>82.0160962984382</v>
      </c>
      <c r="N18" s="862">
        <v>164.0321925968764</v>
      </c>
      <c r="O18" s="404">
        <v>1.18</v>
      </c>
      <c r="P18" s="404">
        <v>-3.89</v>
      </c>
      <c r="Q18" s="779">
        <v>0.43464930200000002</v>
      </c>
      <c r="R18" s="790">
        <f t="shared" si="0"/>
        <v>0.23118640599962603</v>
      </c>
      <c r="S18" s="790">
        <v>192.60708313295552</v>
      </c>
      <c r="T18" s="790">
        <v>755.56209331778814</v>
      </c>
      <c r="U18" s="790">
        <v>159.00896252397186</v>
      </c>
      <c r="V18" s="790">
        <v>403.94604766086076</v>
      </c>
      <c r="W18" s="856">
        <f t="shared" si="1"/>
        <v>351.61604565692738</v>
      </c>
      <c r="X18" s="404">
        <f t="shared" si="2"/>
        <v>0.28852403724349174</v>
      </c>
      <c r="Y18" s="404">
        <f t="shared" si="3"/>
        <v>0.23325470299629472</v>
      </c>
      <c r="Z18" s="404"/>
      <c r="AA18" s="857">
        <v>202.82501455820304</v>
      </c>
      <c r="AB18" s="406">
        <v>154.94100777504264</v>
      </c>
      <c r="AC18" s="571">
        <v>309.88201555008527</v>
      </c>
      <c r="AD18" s="404"/>
      <c r="AE18" s="869">
        <v>0.50018328002346291</v>
      </c>
      <c r="AF18" s="749">
        <v>0.21879497696434985</v>
      </c>
      <c r="AG18" s="861">
        <v>0.4375899539286997</v>
      </c>
      <c r="AH18" s="407" t="s">
        <v>440</v>
      </c>
      <c r="AJ18" s="976" t="s">
        <v>510</v>
      </c>
      <c r="AK18" s="987">
        <v>-10.094354756833251</v>
      </c>
      <c r="AL18" s="977" t="s">
        <v>584</v>
      </c>
      <c r="AM18" s="978" t="s">
        <v>595</v>
      </c>
      <c r="AN18" s="1037">
        <v>413100</v>
      </c>
      <c r="AO18" s="979">
        <v>464.79527637410666</v>
      </c>
      <c r="AP18" s="979">
        <v>11890.896387674613</v>
      </c>
      <c r="AQ18" s="979">
        <v>299071.68496842938</v>
      </c>
      <c r="AR18" s="979">
        <v>812.20758106579274</v>
      </c>
      <c r="AS18" s="979">
        <v>70.001750802607901</v>
      </c>
      <c r="AT18" s="979">
        <v>145.72701328204531</v>
      </c>
      <c r="AU18" s="980">
        <v>4.9282312074902892</v>
      </c>
      <c r="AV18" s="979">
        <v>15.435853367362983</v>
      </c>
      <c r="AW18" s="980">
        <v>9.8069373641698476</v>
      </c>
      <c r="AX18" s="979">
        <v>80.758943543468561</v>
      </c>
      <c r="AY18" s="979">
        <v>169.91215577425129</v>
      </c>
      <c r="AZ18" s="980">
        <v>9.3134458249887864</v>
      </c>
      <c r="BA18" s="980">
        <v>9.4828400872743295</v>
      </c>
      <c r="BB18" s="979">
        <v>52.311570120302747</v>
      </c>
      <c r="BC18" s="979">
        <v>33156.649013223752</v>
      </c>
      <c r="BD18" s="982"/>
      <c r="BE18" s="981"/>
      <c r="BF18" s="978">
        <v>0.73054923828062812</v>
      </c>
      <c r="BG18" s="978">
        <v>0.21415978284865231</v>
      </c>
      <c r="BH18" s="978">
        <v>9.2221931761768502E-2</v>
      </c>
      <c r="BI18" s="978">
        <v>0.19123104815797048</v>
      </c>
      <c r="BJ18" s="980">
        <v>1.061323605883592</v>
      </c>
      <c r="BK18" s="979">
        <v>56.587502402052266</v>
      </c>
      <c r="BL18" s="983"/>
      <c r="BM18" s="984">
        <v>43.6919975280762</v>
      </c>
      <c r="BN18" s="985">
        <v>5.0259714708070469</v>
      </c>
      <c r="BO18" s="983"/>
      <c r="BP18" s="983" t="s">
        <v>508</v>
      </c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</row>
    <row r="19" spans="1:105" ht="17">
      <c r="A19" s="407" t="s">
        <v>270</v>
      </c>
      <c r="B19" s="407" t="s">
        <v>16</v>
      </c>
      <c r="C19" s="1446">
        <f>AVERAGE(BA26:BA29)</f>
        <v>499.91882023016382</v>
      </c>
      <c r="D19" s="732">
        <f>STDEV(BA26:BA29)</f>
        <v>208.48072781003202</v>
      </c>
      <c r="E19" s="1446">
        <v>416.96145562006404</v>
      </c>
      <c r="F19" s="406">
        <f>AVERAGE($BA$22,$BA$23,$BA$24,$BA$25)</f>
        <v>0.49990108862814603</v>
      </c>
      <c r="G19" s="406">
        <f>STDEV($BA$22,$BA$23,$BA$24,$BA$25)</f>
        <v>0.42128240367332853</v>
      </c>
      <c r="H19" s="406">
        <v>0.84256480734665706</v>
      </c>
      <c r="I19" s="1444">
        <f>AVERAGE(BA14:BA21)</f>
        <v>6.330831252578359</v>
      </c>
      <c r="J19" s="404">
        <f>STDEV(BA14:BA21)</f>
        <v>2.8624680561739764</v>
      </c>
      <c r="K19" s="1444">
        <v>5.7249361123479527</v>
      </c>
      <c r="L19" s="1323">
        <v>78.965747195767023</v>
      </c>
      <c r="M19" s="571">
        <v>48.571989389986136</v>
      </c>
      <c r="N19" s="862">
        <v>97.143978779972272</v>
      </c>
      <c r="O19" s="404">
        <v>0.97</v>
      </c>
      <c r="P19" s="404">
        <v>-2.66</v>
      </c>
      <c r="Q19" s="779">
        <v>0.43464930200000002</v>
      </c>
      <c r="R19" s="790">
        <f t="shared" si="0"/>
        <v>0.23118640599962603</v>
      </c>
      <c r="S19" s="790">
        <v>31.614618413871199</v>
      </c>
      <c r="T19" s="790">
        <v>80.499454931469998</v>
      </c>
      <c r="U19" s="790">
        <v>16.097866261484555</v>
      </c>
      <c r="V19" s="790">
        <v>32.786970256114245</v>
      </c>
      <c r="W19" s="856">
        <f t="shared" si="1"/>
        <v>47.712484675355753</v>
      </c>
      <c r="X19" s="404">
        <f t="shared" si="2"/>
        <v>1.655033221033531</v>
      </c>
      <c r="Y19" s="404">
        <f t="shared" si="3"/>
        <v>1.0180142518353132</v>
      </c>
      <c r="Z19" s="404"/>
      <c r="AA19" s="857">
        <v>1000.0354702208519</v>
      </c>
      <c r="AB19" s="406">
        <v>940.30444904967464</v>
      </c>
      <c r="AC19" s="571">
        <v>1880.6088980993493</v>
      </c>
      <c r="AD19" s="404"/>
      <c r="AE19" s="868">
        <v>7.8962946362620426E-2</v>
      </c>
      <c r="AF19" s="571">
        <v>7.5517379690639264E-2</v>
      </c>
      <c r="AG19" s="862">
        <v>0.15103475938127853</v>
      </c>
      <c r="AH19" s="407" t="s">
        <v>16</v>
      </c>
      <c r="AJ19" s="1031" t="s">
        <v>551</v>
      </c>
      <c r="AK19" s="978"/>
      <c r="AL19" s="977" t="s">
        <v>429</v>
      </c>
      <c r="AM19" s="978" t="s">
        <v>620</v>
      </c>
      <c r="AN19" s="1032">
        <v>413100</v>
      </c>
      <c r="AO19" s="979">
        <v>387.28462705901336</v>
      </c>
      <c r="AP19" s="986" t="s">
        <v>619</v>
      </c>
      <c r="AQ19" s="979">
        <v>229530.74451628825</v>
      </c>
      <c r="AR19" s="979">
        <v>652.66622304317616</v>
      </c>
      <c r="AS19" s="979">
        <v>63.599001866841412</v>
      </c>
      <c r="AT19" s="979">
        <v>61.554274348275626</v>
      </c>
      <c r="AU19" s="980">
        <v>3.3342690167565241</v>
      </c>
      <c r="AV19" s="979">
        <v>11.679759043197086</v>
      </c>
      <c r="AW19" s="980">
        <v>6.3597888317158793</v>
      </c>
      <c r="AX19" s="979">
        <v>58.032976644132994</v>
      </c>
      <c r="AY19" s="979">
        <v>164.69882207325603</v>
      </c>
      <c r="AZ19" s="980">
        <v>4.8252017329316548</v>
      </c>
      <c r="BA19" s="980">
        <v>4.7104283676905405</v>
      </c>
      <c r="BB19" s="979">
        <v>29.063502780130385</v>
      </c>
      <c r="BC19" s="978"/>
      <c r="BD19" s="978"/>
      <c r="BE19" s="978"/>
      <c r="BF19" s="978">
        <v>0.51537859788500762</v>
      </c>
      <c r="BG19" s="978">
        <v>0.1192240251934175</v>
      </c>
      <c r="BH19" s="978">
        <v>4.8671892297278613E-2</v>
      </c>
      <c r="BI19" s="978">
        <v>7.8331973906204333E-2</v>
      </c>
      <c r="BJ19" s="978">
        <v>0.40076775839929696</v>
      </c>
      <c r="BK19" s="979">
        <v>28.31658194325858</v>
      </c>
      <c r="BL19" s="983"/>
      <c r="BM19" s="984">
        <v>44.976999282836893</v>
      </c>
      <c r="BN19" s="985">
        <v>7.9212042796840043</v>
      </c>
      <c r="BO19" s="983"/>
      <c r="BP19" s="1033" t="s">
        <v>549</v>
      </c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</row>
    <row r="20" spans="1:105" ht="17">
      <c r="A20" s="407" t="s">
        <v>270</v>
      </c>
      <c r="B20" s="407" t="s">
        <v>435</v>
      </c>
      <c r="C20" s="1446">
        <f>AVERAGE(BB26:BB29)</f>
        <v>192.61314154438978</v>
      </c>
      <c r="D20" s="732">
        <f>STDEV(BB26:BB29)</f>
        <v>21.920388759640087</v>
      </c>
      <c r="E20" s="1446">
        <v>43.840777519280174</v>
      </c>
      <c r="F20" s="406">
        <f>AVERAGE($BB$22,$BB$23,$BB$24,$BB$25)</f>
        <v>0.15998311958278805</v>
      </c>
      <c r="G20" s="406">
        <f>STDEV($BB$22,$BB$23,$BB$24,$BB$25)</f>
        <v>0.12766416854815202</v>
      </c>
      <c r="H20" s="406">
        <v>0.25532833709630404</v>
      </c>
      <c r="I20" s="1447">
        <f>AVERAGE(BB14:BB21)</f>
        <v>38.238051931772432</v>
      </c>
      <c r="J20" s="404">
        <f>STDEV(BB14:BB21)</f>
        <v>10.239807354575255</v>
      </c>
      <c r="K20" s="1447">
        <v>20.479614709150511</v>
      </c>
      <c r="L20" s="1324">
        <v>5.0372111499839596</v>
      </c>
      <c r="M20" s="749">
        <v>1.465678477593142</v>
      </c>
      <c r="N20" s="861">
        <v>2.9313569551862839</v>
      </c>
      <c r="O20" s="404">
        <v>0.54</v>
      </c>
      <c r="P20" s="404">
        <v>-0.70699999999999996</v>
      </c>
      <c r="Q20" s="779">
        <v>0.43464930200000002</v>
      </c>
      <c r="R20" s="790">
        <f t="shared" si="0"/>
        <v>0.23118640599962603</v>
      </c>
      <c r="S20" s="790">
        <v>1.3632142615390881</v>
      </c>
      <c r="T20" s="790">
        <v>1.747629616775314</v>
      </c>
      <c r="U20" s="790">
        <v>0.15758683954935626</v>
      </c>
      <c r="V20" s="790">
        <v>0.22682851568686968</v>
      </c>
      <c r="W20" s="856">
        <f t="shared" si="1"/>
        <v>1.5208011010884444</v>
      </c>
      <c r="X20" s="404">
        <f t="shared" si="2"/>
        <v>3.3122090366575909</v>
      </c>
      <c r="Y20" s="404">
        <f t="shared" si="3"/>
        <v>0.96375421910475279</v>
      </c>
      <c r="Z20" s="404"/>
      <c r="AA20" s="857">
        <v>1203.959155482753</v>
      </c>
      <c r="AB20" s="406">
        <v>970.46284017153846</v>
      </c>
      <c r="AC20" s="571">
        <v>1940.9256803430769</v>
      </c>
      <c r="AD20" s="404"/>
      <c r="AE20" s="868">
        <v>4.1838721247683709E-3</v>
      </c>
      <c r="AF20" s="571">
        <v>3.5216486607246794E-3</v>
      </c>
      <c r="AG20" s="862">
        <v>7.0432973214493589E-3</v>
      </c>
      <c r="AH20" s="407" t="s">
        <v>435</v>
      </c>
      <c r="AJ20" s="1031" t="s">
        <v>546</v>
      </c>
      <c r="AK20" s="978"/>
      <c r="AL20" s="977" t="s">
        <v>614</v>
      </c>
      <c r="AM20" s="978" t="s">
        <v>613</v>
      </c>
      <c r="AN20" s="1032">
        <v>413100</v>
      </c>
      <c r="AO20" s="979">
        <v>386.45673751525777</v>
      </c>
      <c r="AP20" s="986" t="s">
        <v>612</v>
      </c>
      <c r="AQ20" s="979">
        <v>233575.17403198624</v>
      </c>
      <c r="AR20" s="979">
        <v>660.15018037817731</v>
      </c>
      <c r="AS20" s="979">
        <v>64.22759692233916</v>
      </c>
      <c r="AT20" s="979">
        <v>55.497498372013801</v>
      </c>
      <c r="AU20" s="980">
        <v>3.7847483655328804</v>
      </c>
      <c r="AV20" s="979">
        <v>12.96259886718749</v>
      </c>
      <c r="AW20" s="980">
        <v>7.4382604233881819</v>
      </c>
      <c r="AX20" s="979">
        <v>68.090800030401368</v>
      </c>
      <c r="AY20" s="979">
        <v>186.64140645117712</v>
      </c>
      <c r="AZ20" s="980">
        <v>6.9998510835187648</v>
      </c>
      <c r="BA20" s="980">
        <v>6.8566846221699329</v>
      </c>
      <c r="BB20" s="979">
        <v>42.744934433846971</v>
      </c>
      <c r="BC20" s="978"/>
      <c r="BD20" s="978"/>
      <c r="BE20" s="978"/>
      <c r="BF20" s="978">
        <v>0.4324763536930239</v>
      </c>
      <c r="BG20" s="978">
        <v>0.16890454998531937</v>
      </c>
      <c r="BH20" s="978">
        <v>7.1035513005067052E-2</v>
      </c>
      <c r="BI20" s="978">
        <v>0.15930726241380266</v>
      </c>
      <c r="BJ20" s="978">
        <v>0.77348419094713228</v>
      </c>
      <c r="BK20" s="979">
        <v>55.050984036325218</v>
      </c>
      <c r="BL20" s="983"/>
      <c r="BM20" s="984">
        <v>46.903999328613196</v>
      </c>
      <c r="BN20" s="985">
        <v>7.6080308525587999</v>
      </c>
      <c r="BO20" s="983"/>
      <c r="BP20" s="1033" t="s">
        <v>543</v>
      </c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</row>
    <row r="21" spans="1:105" ht="17">
      <c r="A21" s="407" t="s">
        <v>270</v>
      </c>
      <c r="B21" s="407" t="s">
        <v>18</v>
      </c>
      <c r="C21" s="1447">
        <f>AVERAGE(BC26:BC29)</f>
        <v>225.54946529476189</v>
      </c>
      <c r="D21" s="404">
        <f>STDEV(BC26:BC29)</f>
        <v>52.830173159797383</v>
      </c>
      <c r="E21" s="1447">
        <v>105.66034631959477</v>
      </c>
      <c r="F21" s="1447">
        <f>AVERAGE($BC$22,$BC$23,$BC$24,$BC$25)</f>
        <v>105.44719036090136</v>
      </c>
      <c r="G21" s="404">
        <f>STDEV($BC$22,$BC$23,$BC$24,$BC$25)</f>
        <v>30.8179741682935</v>
      </c>
      <c r="H21" s="1447">
        <v>61.635948336586999</v>
      </c>
      <c r="I21" s="1447">
        <f>AVERAGE(BC14:BC21)</f>
        <v>22844.608786677119</v>
      </c>
      <c r="J21" s="404">
        <f>STDEV(BC14:BC21)</f>
        <v>8562.1427878099494</v>
      </c>
      <c r="K21" s="1447">
        <v>17124.285575619899</v>
      </c>
      <c r="L21" s="1496">
        <v>9.873203231490723E-3</v>
      </c>
      <c r="M21" s="790">
        <v>4.3636610863407848E-3</v>
      </c>
      <c r="N21" s="1495">
        <v>8.7273221726815696E-3</v>
      </c>
      <c r="O21" s="404">
        <v>0.15</v>
      </c>
      <c r="P21" s="404">
        <v>2.88</v>
      </c>
      <c r="Q21" s="779">
        <v>0.43464930200000002</v>
      </c>
      <c r="R21" s="790">
        <f t="shared" si="0"/>
        <v>0.23118640599962603</v>
      </c>
      <c r="S21" s="790">
        <f>O21*(((1-(2*C47))/(1-C47))^P21)</f>
        <v>1.2541630862190573E-3</v>
      </c>
      <c r="T21" s="790">
        <f>O21*(((1-(2*C46))/(1-C46))^P21)</f>
        <v>3.4500874181333176E-3</v>
      </c>
      <c r="U21" s="1330">
        <v>9.5538096504486675E-4</v>
      </c>
      <c r="V21" s="1330">
        <v>1.2405433668693936E-3</v>
      </c>
      <c r="W21" s="1366">
        <f t="shared" si="1"/>
        <v>2.209544051263924E-3</v>
      </c>
      <c r="X21" s="404">
        <f t="shared" si="2"/>
        <v>4.4684346645376731</v>
      </c>
      <c r="Y21" s="404">
        <f t="shared" si="3"/>
        <v>1.9749147267938121</v>
      </c>
      <c r="Z21" s="404"/>
      <c r="AA21" s="859">
        <v>2.1389803229730537</v>
      </c>
      <c r="AB21" s="790">
        <v>0.80112995259398379</v>
      </c>
      <c r="AC21" s="749">
        <v>1.6022599051879676</v>
      </c>
      <c r="AD21" s="404"/>
      <c r="AE21" s="1491">
        <v>4.6158457492341794E-3</v>
      </c>
      <c r="AF21" s="779">
        <v>2.1938153061106173E-3</v>
      </c>
      <c r="AG21" s="1500">
        <v>4.3876306122212346E-3</v>
      </c>
      <c r="AH21" s="407" t="s">
        <v>18</v>
      </c>
      <c r="AJ21" s="1041" t="s">
        <v>537</v>
      </c>
      <c r="AK21" s="1042"/>
      <c r="AL21" s="1043">
        <v>246.71525751707679</v>
      </c>
      <c r="AM21" s="1042" t="s">
        <v>610</v>
      </c>
      <c r="AN21" s="1044">
        <v>413100</v>
      </c>
      <c r="AO21" s="1043">
        <v>366.68264869099386</v>
      </c>
      <c r="AP21" s="1045" t="s">
        <v>609</v>
      </c>
      <c r="AQ21" s="1043">
        <v>265552.99900815048</v>
      </c>
      <c r="AR21" s="1043">
        <v>726.67828089019622</v>
      </c>
      <c r="AS21" s="1043">
        <v>129.47973289135439</v>
      </c>
      <c r="AT21" s="1043">
        <v>96.359859423449237</v>
      </c>
      <c r="AU21" s="1043">
        <v>107.81126129299325</v>
      </c>
      <c r="AV21" s="1043">
        <v>10.573126533284773</v>
      </c>
      <c r="AW21" s="1046">
        <v>4.9167505562750611</v>
      </c>
      <c r="AX21" s="1043">
        <v>47.103319329369334</v>
      </c>
      <c r="AY21" s="1043">
        <v>133.82398176467453</v>
      </c>
      <c r="AZ21" s="1046">
        <v>1.9426553592805691</v>
      </c>
      <c r="BA21" s="1042">
        <v>0.5632141415102685</v>
      </c>
      <c r="BB21" s="1043">
        <v>21.594118916900452</v>
      </c>
      <c r="BC21" s="1042"/>
      <c r="BD21" s="1042"/>
      <c r="BE21" s="1042"/>
      <c r="BF21" s="1043">
        <v>23.076145522971924</v>
      </c>
      <c r="BG21" s="1047" t="s">
        <v>239</v>
      </c>
      <c r="BH21" s="1042">
        <v>8.6057220797972032E-3</v>
      </c>
      <c r="BI21" s="1042">
        <v>1.666556525300382E-2</v>
      </c>
      <c r="BJ21" s="1042">
        <v>6.2745926981919942E-2</v>
      </c>
      <c r="BK21" s="1043">
        <v>12.944030210147742</v>
      </c>
      <c r="BL21" s="1048"/>
      <c r="BM21" s="1049">
        <v>44.334997177124094</v>
      </c>
      <c r="BN21" s="1050">
        <v>7.3997922567831713</v>
      </c>
      <c r="BO21" s="1048"/>
      <c r="BP21" s="1051" t="s">
        <v>535</v>
      </c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</row>
    <row r="22" spans="1:105" ht="17">
      <c r="A22" s="435" t="s">
        <v>391</v>
      </c>
      <c r="B22" s="435" t="s">
        <v>428</v>
      </c>
      <c r="C22" s="406">
        <f>AVERAGE(BD63:BD66)</f>
        <v>30072.121321552546</v>
      </c>
      <c r="D22" s="406" t="e">
        <f>STDEV(BD63:BD66)</f>
        <v>#DIV/0!</v>
      </c>
      <c r="E22" s="406" t="e">
        <v>#DIV/0!</v>
      </c>
      <c r="F22" s="406" t="e">
        <f>AVERAGE($BD$22,$BD$23,$BD$24,$BD$25)</f>
        <v>#DIV/0!</v>
      </c>
      <c r="G22" s="406" t="e">
        <f>STDEV($BD$22,$BD$23,$BD$24,$BD$25)</f>
        <v>#DIV/0!</v>
      </c>
      <c r="H22" s="406" t="e">
        <v>#DIV/0!</v>
      </c>
      <c r="I22" s="406">
        <f>AVERAGE(BD51:BD58)</f>
        <v>38936.856758551185</v>
      </c>
      <c r="J22" s="406" t="e">
        <f>STDEV(BD51:BD58)</f>
        <v>#DIV/0!</v>
      </c>
      <c r="K22" s="406" t="e">
        <v>#DIV/0!</v>
      </c>
      <c r="L22" s="1323">
        <v>0.77233048132341098</v>
      </c>
      <c r="M22" s="571" t="e">
        <v>#DIV/0!</v>
      </c>
      <c r="N22" s="862" t="e">
        <v>#DIV/0!</v>
      </c>
      <c r="O22" s="433">
        <v>0.13</v>
      </c>
      <c r="P22" s="433">
        <v>-0.84</v>
      </c>
      <c r="Q22" s="778">
        <v>0.43464930200000002</v>
      </c>
      <c r="R22" s="570">
        <f t="shared" si="0"/>
        <v>0.23118640599962603</v>
      </c>
      <c r="S22" s="570" cm="1">
        <f t="array" ref="S22:S29">O22:O29*(((1-(2*C46))/(1-C46))^P22:P29)</f>
        <v>0.39063353512987303</v>
      </c>
      <c r="T22" s="570" cm="1">
        <f t="array" ref="T22:T29">O22:O29*(((1-(2*C47))/(1-C47))^P22:P29)</f>
        <v>0.52474710196382923</v>
      </c>
      <c r="U22" s="570">
        <v>5.4217930483408894E-2</v>
      </c>
      <c r="V22" s="570">
        <v>7.9895636350547306E-2</v>
      </c>
      <c r="W22" s="888">
        <f t="shared" si="1"/>
        <v>0.44485146561328193</v>
      </c>
      <c r="X22" s="433">
        <f t="shared" si="2"/>
        <v>1.7361536176095527</v>
      </c>
      <c r="Y22" s="433" t="e">
        <f t="shared" si="3"/>
        <v>#DIV/0!</v>
      </c>
      <c r="Z22" s="433"/>
      <c r="AA22" s="857" t="e">
        <v>#DIV/0!</v>
      </c>
      <c r="AB22" s="406" t="e">
        <v>#DIV/0!</v>
      </c>
      <c r="AC22" s="571" t="e">
        <v>#DIV/0!</v>
      </c>
      <c r="AD22" s="433"/>
      <c r="AE22" s="868" t="e">
        <v>#DIV/0!</v>
      </c>
      <c r="AF22" s="571" t="e">
        <v>#DIV/0!</v>
      </c>
      <c r="AG22" s="862" t="e">
        <v>#DIV/0!</v>
      </c>
      <c r="AH22" s="435" t="s">
        <v>428</v>
      </c>
      <c r="AJ22" s="481" t="s">
        <v>548</v>
      </c>
      <c r="AK22" s="469" t="s">
        <v>618</v>
      </c>
      <c r="AL22" s="468">
        <v>2.4820648987451723</v>
      </c>
      <c r="AM22" s="469" t="s">
        <v>617</v>
      </c>
      <c r="AN22" s="1038">
        <v>611700</v>
      </c>
      <c r="AO22" s="471">
        <v>213.96917958723697</v>
      </c>
      <c r="AP22" s="471">
        <v>28237.671034913714</v>
      </c>
      <c r="AQ22" s="471">
        <v>27791.28790203387</v>
      </c>
      <c r="AR22" s="471">
        <v>162.27563413126785</v>
      </c>
      <c r="AS22" s="471">
        <v>105.86805404127843</v>
      </c>
      <c r="AT22" s="471">
        <v>63.709005033710632</v>
      </c>
      <c r="AU22" s="480" t="s">
        <v>265</v>
      </c>
      <c r="AV22" s="471">
        <v>12.030209098337901</v>
      </c>
      <c r="AW22" s="480" t="s">
        <v>616</v>
      </c>
      <c r="AX22" s="480" t="s">
        <v>135</v>
      </c>
      <c r="AY22" s="471">
        <v>369.02421792050313</v>
      </c>
      <c r="AZ22" s="468">
        <v>2.8961300132203553</v>
      </c>
      <c r="BA22" s="480" t="s">
        <v>179</v>
      </c>
      <c r="BB22" s="480" t="s">
        <v>179</v>
      </c>
      <c r="BC22" s="471">
        <v>82.260754076087622</v>
      </c>
      <c r="BD22" s="470"/>
      <c r="BE22" s="470"/>
      <c r="BF22" s="469">
        <v>0.2214309947287624</v>
      </c>
      <c r="BG22" s="480" t="s">
        <v>134</v>
      </c>
      <c r="BH22" s="480" t="s">
        <v>74</v>
      </c>
      <c r="BI22" s="480" t="s">
        <v>120</v>
      </c>
      <c r="BJ22" s="480" t="s">
        <v>615</v>
      </c>
      <c r="BK22" s="469">
        <v>0.41257747343502021</v>
      </c>
      <c r="BL22" s="465"/>
      <c r="BM22" s="467">
        <v>48.831996917724595</v>
      </c>
      <c r="BN22" s="466">
        <v>5.8411902529675581</v>
      </c>
      <c r="BO22" s="465"/>
      <c r="BP22" s="465" t="s">
        <v>547</v>
      </c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</row>
    <row r="23" spans="1:105" ht="17">
      <c r="A23" s="435" t="s">
        <v>391</v>
      </c>
      <c r="B23" s="435" t="s">
        <v>20</v>
      </c>
      <c r="C23" s="406">
        <f>AVERAGE(BE63:BE66)</f>
        <v>5410.4686912143916</v>
      </c>
      <c r="D23" s="406" t="e">
        <f>STDEV(BE63:BE66)</f>
        <v>#DIV/0!</v>
      </c>
      <c r="E23" s="406" t="e">
        <v>#DIV/0!</v>
      </c>
      <c r="F23" s="406" t="e">
        <f>AVERAGE($BE$22,$BE$23,$BE$24,$BE$25)</f>
        <v>#DIV/0!</v>
      </c>
      <c r="G23" s="406" t="e">
        <f>STDEV($BE$22,$BE$23,$BE$24,$BE$25)</f>
        <v>#DIV/0!</v>
      </c>
      <c r="H23" s="406" t="e">
        <v>#DIV/0!</v>
      </c>
      <c r="I23" s="406">
        <f>AVERAGE(BE51:BE58)</f>
        <v>1181.7364057234154</v>
      </c>
      <c r="J23" s="406" t="e">
        <f>STDEV(BE51:BE58)</f>
        <v>#DIV/0!</v>
      </c>
      <c r="K23" s="406" t="e">
        <v>#DIV/0!</v>
      </c>
      <c r="L23" s="1323">
        <v>4.5784056960674766</v>
      </c>
      <c r="M23" s="571" t="e">
        <v>#DIV/0!</v>
      </c>
      <c r="N23" s="862" t="e">
        <v>#DIV/0!</v>
      </c>
      <c r="O23" s="433">
        <v>0.12</v>
      </c>
      <c r="P23" s="433">
        <v>-0.61</v>
      </c>
      <c r="Q23" s="778">
        <v>0.43464930200000002</v>
      </c>
      <c r="R23" s="570">
        <f t="shared" si="0"/>
        <v>0.23118640599962603</v>
      </c>
      <c r="S23" s="570">
        <v>0.26679277305019078</v>
      </c>
      <c r="T23" s="570">
        <v>0.33056550895763759</v>
      </c>
      <c r="U23" s="570">
        <v>2.6407416673635442E-2</v>
      </c>
      <c r="V23" s="570">
        <v>3.7365319233811367E-2</v>
      </c>
      <c r="W23" s="888">
        <f t="shared" si="1"/>
        <v>0.29320018972382622</v>
      </c>
      <c r="X23" s="433">
        <f t="shared" si="2"/>
        <v>15.615288995481244</v>
      </c>
      <c r="Y23" s="433" t="e">
        <f t="shared" si="3"/>
        <v>#DIV/0!</v>
      </c>
      <c r="Z23" s="1378" t="s">
        <v>1410</v>
      </c>
      <c r="AA23" s="857" t="e">
        <v>#DIV/0!</v>
      </c>
      <c r="AB23" s="406" t="e">
        <v>#DIV/0!</v>
      </c>
      <c r="AC23" s="571" t="e">
        <v>#DIV/0!</v>
      </c>
      <c r="AD23" s="1534" t="s">
        <v>1410</v>
      </c>
      <c r="AE23" s="868" t="e">
        <v>#DIV/0!</v>
      </c>
      <c r="AF23" s="571" t="e">
        <v>#DIV/0!</v>
      </c>
      <c r="AG23" s="862" t="e">
        <v>#DIV/0!</v>
      </c>
      <c r="AH23" s="435" t="s">
        <v>20</v>
      </c>
      <c r="AJ23" s="481" t="s">
        <v>534</v>
      </c>
      <c r="AK23" s="469" t="s">
        <v>608</v>
      </c>
      <c r="AL23" s="468">
        <v>3.5642012019459592</v>
      </c>
      <c r="AM23" s="473" t="s">
        <v>607</v>
      </c>
      <c r="AN23" s="1038">
        <v>611700</v>
      </c>
      <c r="AO23" s="471">
        <v>201.89656566399961</v>
      </c>
      <c r="AP23" s="471">
        <v>26912.801617602872</v>
      </c>
      <c r="AQ23" s="471">
        <v>26629.905808209249</v>
      </c>
      <c r="AR23" s="471">
        <v>153.78806625053986</v>
      </c>
      <c r="AS23" s="471">
        <v>101.72777634677823</v>
      </c>
      <c r="AT23" s="471">
        <v>76.717782937638859</v>
      </c>
      <c r="AU23" s="480" t="s">
        <v>41</v>
      </c>
      <c r="AV23" s="471">
        <v>12.204841133350662</v>
      </c>
      <c r="AW23" s="480" t="s">
        <v>606</v>
      </c>
      <c r="AX23" s="480" t="s">
        <v>133</v>
      </c>
      <c r="AY23" s="471">
        <v>362.85197125713034</v>
      </c>
      <c r="AZ23" s="468">
        <v>2.4365275506143713</v>
      </c>
      <c r="BA23" s="469">
        <v>0.25158810514902691</v>
      </c>
      <c r="BB23" s="469">
        <v>7.2337904251554841E-2</v>
      </c>
      <c r="BC23" s="471">
        <v>93.662226128595975</v>
      </c>
      <c r="BD23" s="470"/>
      <c r="BE23" s="470"/>
      <c r="BF23" s="469">
        <v>0.17922677841697979</v>
      </c>
      <c r="BG23" s="480" t="s">
        <v>239</v>
      </c>
      <c r="BH23" s="1379">
        <v>2.9823764978004681E-3</v>
      </c>
      <c r="BI23" s="480" t="s">
        <v>58</v>
      </c>
      <c r="BJ23" s="480" t="s">
        <v>123</v>
      </c>
      <c r="BK23" s="469">
        <v>0.4306394748305129</v>
      </c>
      <c r="BL23" s="465"/>
      <c r="BM23" s="467">
        <v>47.5469970703125</v>
      </c>
      <c r="BN23" s="466">
        <v>5.4672389779735946</v>
      </c>
      <c r="BO23" s="465"/>
      <c r="BP23" s="465" t="s">
        <v>533</v>
      </c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</row>
    <row r="24" spans="1:105" ht="17">
      <c r="A24" s="407" t="s">
        <v>270</v>
      </c>
      <c r="B24" s="407" t="s">
        <v>422</v>
      </c>
      <c r="C24" s="1446">
        <f>AVERAGE(BF26:BF29)</f>
        <v>54.690513469327819</v>
      </c>
      <c r="D24" s="732">
        <f>STDEV(BF26:BF29)</f>
        <v>6.3885440713865425</v>
      </c>
      <c r="E24" s="1446">
        <v>12.777088142773085</v>
      </c>
      <c r="F24" s="404">
        <f>AVERAGE($BF$22,$BF$23,$BF$24,$BF$25)</f>
        <v>0.24568128542128764</v>
      </c>
      <c r="G24" s="404">
        <f>STDEV($BF$22,$BF$23,$BF$24,$BF$25)</f>
        <v>5.9406867823655216E-2</v>
      </c>
      <c r="H24" s="404">
        <v>0.11881373564731043</v>
      </c>
      <c r="I24" s="406">
        <f>AVERAGE(BF14:BF21)</f>
        <v>3.3968611364796715</v>
      </c>
      <c r="J24" s="406">
        <f>STDEV(BF14:BF21)</f>
        <v>7.9522622744829059</v>
      </c>
      <c r="K24" s="406">
        <v>15.904524548965812</v>
      </c>
      <c r="L24" s="1323">
        <v>16.100308865144306</v>
      </c>
      <c r="M24" s="571">
        <v>37.738712326404219</v>
      </c>
      <c r="N24" s="862">
        <v>75.477424652808438</v>
      </c>
      <c r="O24" s="404">
        <v>0.95</v>
      </c>
      <c r="P24" s="404">
        <v>-3.88</v>
      </c>
      <c r="Q24" s="779">
        <v>0.43464930200000002</v>
      </c>
      <c r="R24" s="790">
        <f t="shared" si="0"/>
        <v>0.23118640599962603</v>
      </c>
      <c r="S24" s="790">
        <v>153.04722004210356</v>
      </c>
      <c r="T24" s="790">
        <v>598.270231214913</v>
      </c>
      <c r="U24" s="790">
        <v>125.91790065996986</v>
      </c>
      <c r="V24" s="790">
        <v>319.30511051283958</v>
      </c>
      <c r="W24" s="856">
        <f t="shared" si="1"/>
        <v>278.96512070207342</v>
      </c>
      <c r="X24" s="404">
        <f t="shared" si="2"/>
        <v>5.7714415424496616E-2</v>
      </c>
      <c r="Y24" s="404">
        <f t="shared" si="3"/>
        <v>0.13528111410998961</v>
      </c>
      <c r="Z24" s="404"/>
      <c r="AA24" s="877">
        <v>222.60756807563101</v>
      </c>
      <c r="AB24" s="732">
        <v>59.779423851477134</v>
      </c>
      <c r="AC24" s="732">
        <v>119.55884770295427</v>
      </c>
      <c r="AD24" s="404"/>
      <c r="AE24" s="868">
        <v>7.2325972581822648E-2</v>
      </c>
      <c r="AF24" s="571">
        <v>0.1702203774678015</v>
      </c>
      <c r="AG24" s="862">
        <v>0.340440754935603</v>
      </c>
      <c r="AH24" s="407" t="s">
        <v>422</v>
      </c>
      <c r="AJ24" s="481" t="s">
        <v>527</v>
      </c>
      <c r="AK24" s="469" t="s">
        <v>603</v>
      </c>
      <c r="AL24" s="468">
        <v>2.6622816765858559</v>
      </c>
      <c r="AM24" s="473" t="s">
        <v>602</v>
      </c>
      <c r="AN24" s="1038">
        <v>611700</v>
      </c>
      <c r="AO24" s="471">
        <v>212.33527773555934</v>
      </c>
      <c r="AP24" s="471">
        <v>28079.543778167852</v>
      </c>
      <c r="AQ24" s="471">
        <v>27950.347960370025</v>
      </c>
      <c r="AR24" s="471">
        <v>159.80813988125945</v>
      </c>
      <c r="AS24" s="471">
        <v>101.51196937385588</v>
      </c>
      <c r="AT24" s="471">
        <v>96.661146807770294</v>
      </c>
      <c r="AU24" s="469">
        <v>0.26013357858918174</v>
      </c>
      <c r="AV24" s="471">
        <v>13.369516053824281</v>
      </c>
      <c r="AW24" s="468">
        <v>4.6831574760518899</v>
      </c>
      <c r="AX24" s="469">
        <v>0.57559950978546748</v>
      </c>
      <c r="AY24" s="471">
        <v>373.32863806603672</v>
      </c>
      <c r="AZ24" s="468">
        <v>4.3009766593126511</v>
      </c>
      <c r="BA24" s="468">
        <v>0.98632041357248168</v>
      </c>
      <c r="BB24" s="469">
        <v>0.306455019029923</v>
      </c>
      <c r="BC24" s="471">
        <v>140.4185908780205</v>
      </c>
      <c r="BD24" s="470"/>
      <c r="BE24" s="470"/>
      <c r="BF24" s="469">
        <v>0.31814059825287883</v>
      </c>
      <c r="BG24" s="469">
        <v>0.39343736623406883</v>
      </c>
      <c r="BH24" s="469">
        <v>0.3185406237750526</v>
      </c>
      <c r="BI24" s="469">
        <v>0.54007940710794955</v>
      </c>
      <c r="BJ24" s="469">
        <v>0.92820460572616004</v>
      </c>
      <c r="BK24" s="468">
        <v>1.0548652979246091</v>
      </c>
      <c r="BL24" s="465"/>
      <c r="BM24" s="467">
        <v>48.831996917724595</v>
      </c>
      <c r="BN24" s="466">
        <v>5.1170891917954959</v>
      </c>
      <c r="BO24" s="465"/>
      <c r="BP24" s="465" t="s">
        <v>524</v>
      </c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</row>
    <row r="25" spans="1:105" ht="17">
      <c r="A25" s="407" t="s">
        <v>270</v>
      </c>
      <c r="B25" s="407" t="s">
        <v>22</v>
      </c>
      <c r="C25" s="1553">
        <f>AVERAGE(BG26:BG29)</f>
        <v>306.56647483675732</v>
      </c>
      <c r="D25" s="406">
        <f>STDEV(BG26:BG29)</f>
        <v>399.63198491125473</v>
      </c>
      <c r="E25" s="1553">
        <v>799.26396982250947</v>
      </c>
      <c r="F25" s="1451">
        <f>AVERAGE($BG$22,$BG$23,$BG$24,$BG$25)</f>
        <v>0.20103970233978438</v>
      </c>
      <c r="G25" s="406">
        <f>STDEV($BG$22,$BG$23,$BG$24,$BG$25)</f>
        <v>0.2720913856481974</v>
      </c>
      <c r="H25" s="1451">
        <v>0.54418277129639481</v>
      </c>
      <c r="I25" s="404">
        <f>AVERAGE(BG14:BG21)</f>
        <v>0.15231565203410832</v>
      </c>
      <c r="J25" s="404">
        <f>STDEV(BG14:BG21)</f>
        <v>3.6448663369378638E-2</v>
      </c>
      <c r="K25" s="404">
        <v>7.2897326738757276E-2</v>
      </c>
      <c r="L25" s="1323">
        <v>2012.70500268815</v>
      </c>
      <c r="M25" s="571">
        <v>2667.5497362446272</v>
      </c>
      <c r="N25" s="862">
        <v>5335.0994724892544</v>
      </c>
      <c r="O25" s="404">
        <v>1.65</v>
      </c>
      <c r="P25" s="404">
        <v>-5.08</v>
      </c>
      <c r="Q25" s="779">
        <v>0.43464930200000002</v>
      </c>
      <c r="R25" s="790">
        <f t="shared" si="0"/>
        <v>0.23118640599962603</v>
      </c>
      <c r="S25" s="790">
        <v>1279.9547044381586</v>
      </c>
      <c r="T25" s="790">
        <v>7627.4889075207338</v>
      </c>
      <c r="U25" s="790">
        <v>1529.0695755048175</v>
      </c>
      <c r="V25" s="790">
        <v>4818.4646275777577</v>
      </c>
      <c r="W25" s="856">
        <f t="shared" si="1"/>
        <v>2809.0242799429761</v>
      </c>
      <c r="X25" s="404">
        <f t="shared" si="2"/>
        <v>0.7165139215987868</v>
      </c>
      <c r="Y25" s="404">
        <f t="shared" si="3"/>
        <v>0.94963569923246771</v>
      </c>
      <c r="Z25" s="404">
        <f>C25/AVERAGE(BG24,BG25)</f>
        <v>1524.9051369894012</v>
      </c>
      <c r="AA25" s="857">
        <v>1524.9051369894012</v>
      </c>
      <c r="AB25" s="406">
        <v>2865.4639802971401</v>
      </c>
      <c r="AC25" s="571">
        <v>5730.9279605942802</v>
      </c>
      <c r="AD25" s="1532">
        <f>AVERAGE(BG24,BG25)/I25</f>
        <v>1.3198886631477977</v>
      </c>
      <c r="AE25" s="868">
        <v>1.3198886631477977</v>
      </c>
      <c r="AF25" s="571">
        <v>1.8140724867378817</v>
      </c>
      <c r="AG25" s="862">
        <v>3.6281449734757634</v>
      </c>
      <c r="AH25" s="407" t="s">
        <v>22</v>
      </c>
      <c r="AJ25" s="481" t="s">
        <v>557</v>
      </c>
      <c r="AK25" s="469"/>
      <c r="AL25" s="468">
        <v>3.0305379175104004</v>
      </c>
      <c r="AM25" s="469" t="s">
        <v>624</v>
      </c>
      <c r="AN25" s="1038">
        <v>611700</v>
      </c>
      <c r="AO25" s="471">
        <v>210.0775361932883</v>
      </c>
      <c r="AP25" s="471">
        <v>27358.332508739139</v>
      </c>
      <c r="AQ25" s="471">
        <v>27527.204109085753</v>
      </c>
      <c r="AR25" s="471">
        <v>158.93045702812191</v>
      </c>
      <c r="AS25" s="471">
        <v>94.503302656886461</v>
      </c>
      <c r="AT25" s="471">
        <v>98.384405049753838</v>
      </c>
      <c r="AU25" s="469">
        <v>0.1185653512178764</v>
      </c>
      <c r="AV25" s="471">
        <v>10.6746117859138</v>
      </c>
      <c r="AW25" s="480" t="s">
        <v>623</v>
      </c>
      <c r="AX25" s="480" t="s">
        <v>279</v>
      </c>
      <c r="AY25" s="471">
        <v>382.99482967726777</v>
      </c>
      <c r="AZ25" s="468">
        <v>3.250067465936489</v>
      </c>
      <c r="BA25" s="469">
        <v>0.26179474716292944</v>
      </c>
      <c r="BB25" s="469">
        <v>0.1011564354668863</v>
      </c>
      <c r="BC25" s="471"/>
      <c r="BD25" s="469"/>
      <c r="BE25" s="469"/>
      <c r="BF25" s="469">
        <v>0.26392677028652956</v>
      </c>
      <c r="BG25" s="469">
        <v>8.6420384454999107E-3</v>
      </c>
      <c r="BH25" s="471"/>
      <c r="BI25" s="471"/>
      <c r="BJ25" s="471"/>
      <c r="BK25" s="469">
        <v>0.48740981968315622</v>
      </c>
      <c r="BL25" s="465"/>
      <c r="BM25" s="467">
        <v>47.5469970703125</v>
      </c>
      <c r="BN25" s="466">
        <v>5.9107323625082033</v>
      </c>
      <c r="BO25" s="465"/>
      <c r="BP25" s="465" t="s">
        <v>556</v>
      </c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</row>
    <row r="26" spans="1:105" ht="17">
      <c r="A26" s="407" t="s">
        <v>270</v>
      </c>
      <c r="B26" s="407" t="s">
        <v>23</v>
      </c>
      <c r="C26" s="1553">
        <f>AVERAGE(BH26:BH29)</f>
        <v>384.63254482619465</v>
      </c>
      <c r="D26" s="406">
        <f>STDEV(BH26:BH29)</f>
        <v>337.05990014568653</v>
      </c>
      <c r="E26" s="1553">
        <v>674.11980029137305</v>
      </c>
      <c r="F26" s="1557">
        <f>AVERAGE($BH$22,$BH$23,$BH$24,$BH$25)</f>
        <v>0.16076150013642654</v>
      </c>
      <c r="G26" s="810">
        <f>STDEV($BH$22,$BH$23,$BH$24,$BH$25)</f>
        <v>0.22313337650908635</v>
      </c>
      <c r="H26" s="1557">
        <v>0.4462667530181727</v>
      </c>
      <c r="I26" s="406">
        <f>AVERAGE(BH14:BH21)</f>
        <v>4.8949417648030867E-2</v>
      </c>
      <c r="J26" s="406">
        <f>STDEV(BH14:BH21)</f>
        <v>2.816066038596271E-2</v>
      </c>
      <c r="K26" s="406">
        <v>5.6321320771925421E-2</v>
      </c>
      <c r="L26" s="1323">
        <v>7857.7552769244767</v>
      </c>
      <c r="M26" s="571">
        <v>8237.1704616252246</v>
      </c>
      <c r="N26" s="862">
        <v>16474.340923250449</v>
      </c>
      <c r="O26" s="404">
        <v>1.71</v>
      </c>
      <c r="P26" s="404">
        <v>-5.34</v>
      </c>
      <c r="Q26" s="779">
        <v>0.43464930200000002</v>
      </c>
      <c r="R26" s="790">
        <f t="shared" si="0"/>
        <v>0.23118640599962603</v>
      </c>
      <c r="S26" s="790">
        <v>1864.6844279354953</v>
      </c>
      <c r="T26" s="790">
        <v>12174.951846375156</v>
      </c>
      <c r="U26" s="790">
        <v>2395.5888973997808</v>
      </c>
      <c r="V26" s="790">
        <v>7914.6785210398793</v>
      </c>
      <c r="W26" s="856">
        <f t="shared" si="1"/>
        <v>4260.2733253352762</v>
      </c>
      <c r="X26" s="404">
        <f t="shared" si="2"/>
        <v>1.8444251523007822</v>
      </c>
      <c r="Y26" s="404">
        <f t="shared" si="3"/>
        <v>1.9334840355523373</v>
      </c>
      <c r="Z26" s="404">
        <f>C26/AVERAGE(BH23,BH24)</f>
        <v>2392.5662829706434</v>
      </c>
      <c r="AA26" s="857">
        <v>2392.5662829706434</v>
      </c>
      <c r="AB26" s="406">
        <v>3927.317891052352</v>
      </c>
      <c r="AC26" s="571">
        <v>7854.635782104704</v>
      </c>
      <c r="AD26" s="1533">
        <f>AVERAGE(0.22,BH8,BH24)/I26</f>
        <v>3.7576201492256684</v>
      </c>
      <c r="AE26" s="868">
        <v>3.284237236331935</v>
      </c>
      <c r="AF26" s="571">
        <v>4.9345088979027292</v>
      </c>
      <c r="AG26" s="862">
        <v>9.8690177958054583</v>
      </c>
      <c r="AH26" s="407" t="s">
        <v>23</v>
      </c>
      <c r="AJ26" s="988" t="s">
        <v>555</v>
      </c>
      <c r="AK26" s="989">
        <v>34.37423561015661</v>
      </c>
      <c r="AL26" s="989" t="s">
        <v>622</v>
      </c>
      <c r="AM26" s="990">
        <v>11.632063979633795</v>
      </c>
      <c r="AN26" s="1039">
        <v>454200</v>
      </c>
      <c r="AO26" s="991">
        <v>1392.1941765467309</v>
      </c>
      <c r="AP26" s="991">
        <v>563308.72867853777</v>
      </c>
      <c r="AQ26" s="991">
        <v>565522.81496260571</v>
      </c>
      <c r="AR26" s="991">
        <v>247.00152292269959</v>
      </c>
      <c r="AS26" s="991">
        <v>46.174501314844655</v>
      </c>
      <c r="AT26" s="991">
        <v>24.380208253050917</v>
      </c>
      <c r="AU26" s="991">
        <v>151.99533090394223</v>
      </c>
      <c r="AV26" s="991">
        <v>1287.4949643032298</v>
      </c>
      <c r="AW26" s="991">
        <v>1407.321761985374</v>
      </c>
      <c r="AX26" s="991">
        <v>545.88445273252978</v>
      </c>
      <c r="AY26" s="991">
        <v>243.45145229910764</v>
      </c>
      <c r="AZ26" s="991">
        <v>1357.7311389874665</v>
      </c>
      <c r="BA26" s="991">
        <v>810.16357879876955</v>
      </c>
      <c r="BB26" s="991">
        <v>223.01907706057912</v>
      </c>
      <c r="BC26" s="990" t="s">
        <v>621</v>
      </c>
      <c r="BD26" s="992"/>
      <c r="BE26" s="993"/>
      <c r="BF26" s="991">
        <v>61.830188429995964</v>
      </c>
      <c r="BG26" s="991">
        <v>895.95651028641294</v>
      </c>
      <c r="BH26" s="991">
        <v>708.39996180610501</v>
      </c>
      <c r="BI26" s="991">
        <v>1098.7754093488268</v>
      </c>
      <c r="BJ26" s="991">
        <v>1515.5240550161907</v>
      </c>
      <c r="BK26" s="991">
        <v>666.91692434515198</v>
      </c>
      <c r="BL26" s="994"/>
      <c r="BM26" s="995">
        <v>46.903999328613196</v>
      </c>
      <c r="BN26" s="996">
        <v>0.82017796470202198</v>
      </c>
      <c r="BO26" s="994"/>
      <c r="BP26" s="994" t="s">
        <v>552</v>
      </c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</row>
    <row r="27" spans="1:105" ht="17">
      <c r="A27" s="407" t="s">
        <v>270</v>
      </c>
      <c r="B27" s="407" t="s">
        <v>24</v>
      </c>
      <c r="C27" s="1553">
        <f>AVERAGE(BI26:BI29)</f>
        <v>748.58346094850492</v>
      </c>
      <c r="D27" s="406">
        <f>STDEV(BI26:BI29)</f>
        <v>495.54623838868912</v>
      </c>
      <c r="E27" s="1553">
        <v>991.09247677737824</v>
      </c>
      <c r="F27" s="810">
        <f>AVERAGE($BI$22,$BI$23,$BI$24,$BI$25)</f>
        <v>0.54007940710794955</v>
      </c>
      <c r="G27" s="810" t="e">
        <f>STDEV($BI$22,$BI$23,$BI$24,$BI$25)</f>
        <v>#DIV/0!</v>
      </c>
      <c r="H27" s="810" t="e">
        <v>#DIV/0!</v>
      </c>
      <c r="I27" s="790">
        <f>AVERAGE(BI14:BI21)</f>
        <v>0.11181740398019174</v>
      </c>
      <c r="J27" s="404">
        <f>STDEV(BI14:BI21)</f>
        <v>5.4094981348102394E-2</v>
      </c>
      <c r="K27" s="790">
        <v>0.10818996269620479</v>
      </c>
      <c r="L27" s="1323">
        <v>6694.6954078912004</v>
      </c>
      <c r="M27" s="571">
        <v>5489.0721785560499</v>
      </c>
      <c r="N27" s="862">
        <v>10978.1443571121</v>
      </c>
      <c r="O27" s="404">
        <v>1.49</v>
      </c>
      <c r="P27" s="404">
        <v>-5.04</v>
      </c>
      <c r="Q27" s="779">
        <v>0.43464930200000002</v>
      </c>
      <c r="R27" s="790">
        <f t="shared" si="0"/>
        <v>0.23118640599962603</v>
      </c>
      <c r="S27" s="790">
        <v>1096.84004498937</v>
      </c>
      <c r="T27" s="790">
        <v>6445.0523192465807</v>
      </c>
      <c r="U27" s="790">
        <v>1295.4636387025423</v>
      </c>
      <c r="V27" s="790">
        <v>4052.7486355546685</v>
      </c>
      <c r="W27" s="856">
        <f t="shared" si="1"/>
        <v>2392.3036836919123</v>
      </c>
      <c r="X27" s="404">
        <f t="shared" si="2"/>
        <v>2.7984304223281722</v>
      </c>
      <c r="Y27" s="404">
        <f t="shared" si="3"/>
        <v>2.2944713148144564</v>
      </c>
      <c r="Z27" s="404">
        <f>C27/AVERAGE(BI24)</f>
        <v>1386.0618477513626</v>
      </c>
      <c r="AA27" s="857">
        <v>1386.0618477513626</v>
      </c>
      <c r="AB27" s="406" t="e">
        <v>#DIV/0!</v>
      </c>
      <c r="AC27" s="571" t="e">
        <v>#DIV/0!</v>
      </c>
      <c r="AD27" s="404"/>
      <c r="AE27" s="868">
        <v>4.830012036441337</v>
      </c>
      <c r="AF27" s="571" t="e">
        <v>#DIV/0!</v>
      </c>
      <c r="AG27" s="862" t="e">
        <v>#DIV/0!</v>
      </c>
      <c r="AH27" s="407" t="s">
        <v>24</v>
      </c>
      <c r="AJ27" s="988" t="s">
        <v>542</v>
      </c>
      <c r="AK27" s="989">
        <v>-195.1866998384323</v>
      </c>
      <c r="AL27" s="989" t="s">
        <v>611</v>
      </c>
      <c r="AM27" s="990">
        <v>3.1401066338386503</v>
      </c>
      <c r="AN27" s="1039">
        <v>454200</v>
      </c>
      <c r="AO27" s="991">
        <v>1301.635014375453</v>
      </c>
      <c r="AP27" s="991">
        <v>540011.50971469737</v>
      </c>
      <c r="AQ27" s="991">
        <v>537762.4396552291</v>
      </c>
      <c r="AR27" s="991">
        <v>241.79311202538028</v>
      </c>
      <c r="AS27" s="991">
        <v>52.698788766811511</v>
      </c>
      <c r="AT27" s="991">
        <v>35.984089843823845</v>
      </c>
      <c r="AU27" s="991">
        <v>136.08213301536605</v>
      </c>
      <c r="AV27" s="991">
        <v>270.75766730921055</v>
      </c>
      <c r="AW27" s="991">
        <v>299.95581851281872</v>
      </c>
      <c r="AX27" s="991">
        <v>473.28752284206757</v>
      </c>
      <c r="AY27" s="991">
        <v>213.31322973433888</v>
      </c>
      <c r="AZ27" s="991">
        <v>364.09339878862079</v>
      </c>
      <c r="BA27" s="991">
        <v>365.17299331844146</v>
      </c>
      <c r="BB27" s="991">
        <v>180.08224265541156</v>
      </c>
      <c r="BC27" s="991">
        <v>262.9060389873141</v>
      </c>
      <c r="BD27" s="992"/>
      <c r="BE27" s="992"/>
      <c r="BF27" s="991">
        <v>55.831785954321155</v>
      </c>
      <c r="BG27" s="991">
        <v>187.10826277887125</v>
      </c>
      <c r="BH27" s="991">
        <v>195.04759928690569</v>
      </c>
      <c r="BI27" s="991">
        <v>981.80679410318407</v>
      </c>
      <c r="BJ27" s="991">
        <v>296.61831817831734</v>
      </c>
      <c r="BK27" s="991">
        <v>530.01269129418927</v>
      </c>
      <c r="BL27" s="994"/>
      <c r="BM27" s="995">
        <v>49.474996566772504</v>
      </c>
      <c r="BN27" s="996">
        <v>0.6536119405137889</v>
      </c>
      <c r="BO27" s="994"/>
      <c r="BP27" s="994" t="s">
        <v>538</v>
      </c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</row>
    <row r="28" spans="1:105" ht="17">
      <c r="A28" s="407" t="s">
        <v>270</v>
      </c>
      <c r="B28" s="407" t="s">
        <v>25</v>
      </c>
      <c r="C28" s="406">
        <f>AVERAGE(BJ26:BJ29)</f>
        <v>613.21773645688052</v>
      </c>
      <c r="D28" s="406">
        <f>STDEV(BJ26:BJ29)</f>
        <v>637.63818837444046</v>
      </c>
      <c r="E28" s="406">
        <v>1275.2763767488809</v>
      </c>
      <c r="F28" s="406">
        <f>AVERAGE($BJ$22,$BJ$23,$BJ$24,$BJ$25)</f>
        <v>0.92820460572616004</v>
      </c>
      <c r="G28" s="406" t="e">
        <f>STDEV($BJ$22,$BJ$23,$BJ$24,$BJ$25)</f>
        <v>#DIV/0!</v>
      </c>
      <c r="H28" s="406" t="e">
        <v>#DIV/0!</v>
      </c>
      <c r="I28" s="404">
        <f>AVERAGE(BJ14:BJ21)</f>
        <v>0.64580963014236736</v>
      </c>
      <c r="J28" s="404">
        <f>STDEV(BJ14:BJ21)</f>
        <v>0.30620262063170856</v>
      </c>
      <c r="K28" s="404">
        <v>0.61240524126341711</v>
      </c>
      <c r="L28" s="1323">
        <v>949.53328014278441</v>
      </c>
      <c r="M28" s="571">
        <v>1085.1463411114753</v>
      </c>
      <c r="N28" s="862">
        <v>2170.2926822229506</v>
      </c>
      <c r="O28" s="404">
        <v>0.95</v>
      </c>
      <c r="P28" s="404">
        <v>-4.2</v>
      </c>
      <c r="Q28" s="779">
        <v>0.43464930200000002</v>
      </c>
      <c r="R28" s="790">
        <f t="shared" si="0"/>
        <v>0.23118640599962603</v>
      </c>
      <c r="S28" s="790">
        <v>232.73112197079348</v>
      </c>
      <c r="T28" s="790">
        <v>1018.0218222424961</v>
      </c>
      <c r="U28" s="790">
        <v>213.00925133091403</v>
      </c>
      <c r="V28" s="790">
        <v>572.28144894078855</v>
      </c>
      <c r="W28" s="856">
        <f t="shared" si="1"/>
        <v>445.74037330170751</v>
      </c>
      <c r="X28" s="404">
        <f t="shared" si="2"/>
        <v>2.130238446002457</v>
      </c>
      <c r="Y28" s="404">
        <f t="shared" si="3"/>
        <v>2.434480711436418</v>
      </c>
      <c r="Z28" s="404">
        <f>C28/AVERAGE(BJ24)</f>
        <v>660.64931446568653</v>
      </c>
      <c r="AA28" s="857">
        <v>660.64931446568653</v>
      </c>
      <c r="AB28" s="406" t="e">
        <v>#DIV/0!</v>
      </c>
      <c r="AC28" s="571" t="e">
        <v>#DIV/0!</v>
      </c>
      <c r="AD28" s="1533">
        <f>AVERAGE(BJ24)/I28</f>
        <v>1.4372727850489615</v>
      </c>
      <c r="AE28" s="868">
        <v>1.4372727850489615</v>
      </c>
      <c r="AF28" s="571" t="e">
        <v>#DIV/0!</v>
      </c>
      <c r="AG28" s="862" t="e">
        <v>#DIV/0!</v>
      </c>
      <c r="AH28" s="407" t="s">
        <v>25</v>
      </c>
      <c r="AJ28" s="988" t="s">
        <v>532</v>
      </c>
      <c r="AK28" s="997">
        <v>6.5979682706864313</v>
      </c>
      <c r="AL28" s="998" t="s">
        <v>605</v>
      </c>
      <c r="AM28" s="999">
        <v>-7.1305306152546937</v>
      </c>
      <c r="AN28" s="1039">
        <v>454200</v>
      </c>
      <c r="AO28" s="991">
        <v>1579.0456816645769</v>
      </c>
      <c r="AP28" s="991">
        <v>534015.75536874635</v>
      </c>
      <c r="AQ28" s="991">
        <v>525906.4395410032</v>
      </c>
      <c r="AR28" s="991">
        <v>236.47004819053851</v>
      </c>
      <c r="AS28" s="991">
        <v>45.432989548946196</v>
      </c>
      <c r="AT28" s="991">
        <v>37.427810928835406</v>
      </c>
      <c r="AU28" s="991">
        <v>126.18335648885862</v>
      </c>
      <c r="AV28" s="991">
        <v>337.25946282328209</v>
      </c>
      <c r="AW28" s="991">
        <v>349.69651695118688</v>
      </c>
      <c r="AX28" s="991">
        <v>455.7688814858044</v>
      </c>
      <c r="AY28" s="991">
        <v>212.24027495678453</v>
      </c>
      <c r="AZ28" s="991">
        <v>486.84765293880287</v>
      </c>
      <c r="BA28" s="991">
        <v>429.26403206513595</v>
      </c>
      <c r="BB28" s="991">
        <v>193.68080991891588</v>
      </c>
      <c r="BC28" s="991">
        <v>188.19289160220967</v>
      </c>
      <c r="BD28" s="992"/>
      <c r="BE28" s="992"/>
      <c r="BF28" s="991">
        <v>54.785366140545555</v>
      </c>
      <c r="BG28" s="991">
        <v>130.9652515455046</v>
      </c>
      <c r="BH28" s="991">
        <v>626.6188634225357</v>
      </c>
      <c r="BI28" s="991">
        <v>898.17164153995634</v>
      </c>
      <c r="BJ28" s="991">
        <v>579.04285823124337</v>
      </c>
      <c r="BK28" s="991">
        <v>558.84668316017701</v>
      </c>
      <c r="BL28" s="994"/>
      <c r="BM28" s="995">
        <v>43.6919975280762</v>
      </c>
      <c r="BN28" s="996">
        <v>0.6968140629451387</v>
      </c>
      <c r="BO28" s="994"/>
      <c r="BP28" s="994" t="s">
        <v>528</v>
      </c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</row>
    <row r="29" spans="1:105" ht="18" thickBot="1">
      <c r="A29" s="407" t="s">
        <v>270</v>
      </c>
      <c r="B29" s="407" t="s">
        <v>26</v>
      </c>
      <c r="C29" s="1446">
        <f>AVERAGE(BK26:BK29)</f>
        <v>565.7756348572774</v>
      </c>
      <c r="D29" s="732">
        <f>STDEV(BK26:BK29)</f>
        <v>70.646751821465358</v>
      </c>
      <c r="E29" s="1446">
        <v>141.29350364293072</v>
      </c>
      <c r="F29" s="406">
        <f>AVERAGE($BK$22,$BK$23,$BK$24,$BK$25)</f>
        <v>0.59637301646832463</v>
      </c>
      <c r="G29" s="406">
        <f>STDEV($BK$22,$BK$23,$BK$24,$BK$25)</f>
        <v>0.30731989786504849</v>
      </c>
      <c r="H29" s="406">
        <v>0.61463979573009697</v>
      </c>
      <c r="I29" s="1447">
        <f>AVERAGE(BK14:BK21)</f>
        <v>41.050589008339159</v>
      </c>
      <c r="J29" s="404">
        <f>STDEV(BK14:BK21)</f>
        <v>14.778994029761538</v>
      </c>
      <c r="K29" s="1447">
        <v>29.557988059523076</v>
      </c>
      <c r="L29" s="1324">
        <v>13.782399924696422</v>
      </c>
      <c r="M29" s="749">
        <v>5.2518992545459788</v>
      </c>
      <c r="N29" s="861">
        <v>10.503798509091958</v>
      </c>
      <c r="O29" s="404">
        <v>0.37</v>
      </c>
      <c r="P29" s="404">
        <v>-1.72</v>
      </c>
      <c r="Q29" s="779">
        <v>0.43464930200000002</v>
      </c>
      <c r="R29" s="790">
        <f t="shared" si="0"/>
        <v>0.23118640599962603</v>
      </c>
      <c r="S29" s="790">
        <v>3.5205271219696468</v>
      </c>
      <c r="T29" s="790">
        <v>6.4427692724261325</v>
      </c>
      <c r="U29" s="790">
        <v>1.0734262112922477</v>
      </c>
      <c r="V29" s="790">
        <v>1.848815939164238</v>
      </c>
      <c r="W29" s="1367">
        <f t="shared" si="1"/>
        <v>4.5939533332618945</v>
      </c>
      <c r="X29" s="404">
        <f t="shared" si="2"/>
        <v>3.0001175294722366</v>
      </c>
      <c r="Y29" s="404">
        <f t="shared" si="3"/>
        <v>1.1432199836511869</v>
      </c>
      <c r="Z29" s="404"/>
      <c r="AA29" s="857">
        <v>948.69422196154585</v>
      </c>
      <c r="AB29" s="406">
        <v>503.02378903253322</v>
      </c>
      <c r="AC29" s="571">
        <v>1006.0475780650664</v>
      </c>
      <c r="AD29" s="404"/>
      <c r="AE29" s="868">
        <v>1.4527757844039103E-2</v>
      </c>
      <c r="AF29" s="571">
        <v>9.1324397326307608E-3</v>
      </c>
      <c r="AG29" s="862">
        <v>1.8264879465261522E-2</v>
      </c>
      <c r="AH29" s="407" t="s">
        <v>26</v>
      </c>
      <c r="AJ29" s="988" t="s">
        <v>507</v>
      </c>
      <c r="AK29" s="1000">
        <v>25.621165696302686</v>
      </c>
      <c r="AL29" s="1001" t="s">
        <v>594</v>
      </c>
      <c r="AM29" s="990">
        <v>-24.461574545407466</v>
      </c>
      <c r="AN29" s="1039">
        <v>454200</v>
      </c>
      <c r="AO29" s="991">
        <v>1215.2737881373307</v>
      </c>
      <c r="AP29" s="991">
        <v>507283.12254611892</v>
      </c>
      <c r="AQ29" s="991">
        <v>515101.00364912348</v>
      </c>
      <c r="AR29" s="991">
        <v>223.21683874269934</v>
      </c>
      <c r="AS29" s="991">
        <v>37.603466938466447</v>
      </c>
      <c r="AT29" s="991">
        <v>133.5555967675871</v>
      </c>
      <c r="AU29" s="991">
        <v>115.29082299110948</v>
      </c>
      <c r="AV29" s="991">
        <v>210.0374913804703</v>
      </c>
      <c r="AW29" s="991">
        <v>219.368769045471</v>
      </c>
      <c r="AX29" s="991">
        <v>426.65291817473945</v>
      </c>
      <c r="AY29" s="991">
        <v>221.25958015222588</v>
      </c>
      <c r="AZ29" s="991">
        <v>404.46479193709024</v>
      </c>
      <c r="BA29" s="991">
        <v>395.07467673830826</v>
      </c>
      <c r="BB29" s="991">
        <v>173.67043654265248</v>
      </c>
      <c r="BC29" s="990" t="s">
        <v>593</v>
      </c>
      <c r="BD29" s="993"/>
      <c r="BE29" s="992"/>
      <c r="BF29" s="991">
        <v>46.314713352448585</v>
      </c>
      <c r="BG29" s="991">
        <v>12.235874736240492</v>
      </c>
      <c r="BH29" s="1002">
        <v>8.4637547892324001</v>
      </c>
      <c r="BI29" s="991">
        <v>15.579998802052424</v>
      </c>
      <c r="BJ29" s="991">
        <v>61.685714401770994</v>
      </c>
      <c r="BK29" s="991">
        <v>507.32624062959155</v>
      </c>
      <c r="BL29" s="994"/>
      <c r="BM29" s="995">
        <v>41.763999938964794</v>
      </c>
      <c r="BN29" s="996">
        <v>0.23869586441685611</v>
      </c>
      <c r="BO29" s="994"/>
      <c r="BP29" s="994" t="s">
        <v>503</v>
      </c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</row>
    <row r="30" spans="1:105" ht="17">
      <c r="A30" s="933" t="s">
        <v>1395</v>
      </c>
      <c r="B30" s="933" t="s">
        <v>6</v>
      </c>
      <c r="C30" s="382"/>
      <c r="D30" s="382"/>
      <c r="E30" s="382"/>
      <c r="F30" s="382"/>
      <c r="G30" s="382"/>
      <c r="H30" s="382"/>
      <c r="I30" s="382"/>
      <c r="J30" s="382"/>
      <c r="K30" s="382"/>
      <c r="L30" s="1325">
        <f>L34/F34</f>
        <v>1.0933348842167541</v>
      </c>
      <c r="M30" s="386">
        <f>L30*SQRT((M34/L34)^2 + (G34/F34)^2)</f>
        <v>2.6991209616623806E-2</v>
      </c>
      <c r="N30" s="975">
        <f>2*M30</f>
        <v>5.3982419233247612E-2</v>
      </c>
      <c r="P30" s="382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974">
        <f>L34/I34</f>
        <v>0.74241757139961329</v>
      </c>
      <c r="AB30" s="386">
        <f>AA30*SQRT((M34/L34)^2 + (J34/I34)^2)</f>
        <v>5.8802969825347239E-3</v>
      </c>
      <c r="AC30" s="975">
        <f>2*AB30</f>
        <v>1.1760593965069448E-2</v>
      </c>
      <c r="AD30" s="386"/>
      <c r="AE30" s="386">
        <f>I34/F34</f>
        <v>1.4726683827749225</v>
      </c>
      <c r="AF30" s="386">
        <f>AE30*SQRT((G34/F34)^2 + (J34/I34)^2)</f>
        <v>3.5239103085675814E-2</v>
      </c>
      <c r="AG30" s="975">
        <f>2*AF30</f>
        <v>7.0478206171351629E-2</v>
      </c>
      <c r="AH30" s="386"/>
      <c r="AJ30" s="432" t="s">
        <v>86</v>
      </c>
      <c r="AK30" s="428">
        <v>28.818395670591165</v>
      </c>
      <c r="AL30" s="427">
        <v>22.464409446062128</v>
      </c>
      <c r="AM30" s="425">
        <v>8.8654104563852449</v>
      </c>
      <c r="AN30" s="1035">
        <v>937000</v>
      </c>
      <c r="AO30" s="427">
        <v>4558.8588231665863</v>
      </c>
      <c r="AP30" s="427">
        <v>56303.2036802445</v>
      </c>
      <c r="AQ30" s="427">
        <v>54813.535315313631</v>
      </c>
      <c r="AR30" s="427">
        <v>146.28318188494632</v>
      </c>
      <c r="AS30" s="430" t="s">
        <v>592</v>
      </c>
      <c r="AT30" s="429" t="s">
        <v>591</v>
      </c>
      <c r="AU30" s="427">
        <v>55.963161628942942</v>
      </c>
      <c r="AV30" s="427">
        <v>176.00721222556098</v>
      </c>
      <c r="AW30" s="427">
        <v>170.33391873148099</v>
      </c>
      <c r="AX30" s="428">
        <v>4.616898626645864</v>
      </c>
      <c r="AY30" s="428">
        <v>6.0453257176798765</v>
      </c>
      <c r="AZ30" s="427">
        <v>20.140648178150506</v>
      </c>
      <c r="BA30" s="428">
        <v>2.1285760784918137</v>
      </c>
      <c r="BB30" s="428">
        <v>1.3584407642382907</v>
      </c>
      <c r="BC30" s="425" t="s">
        <v>590</v>
      </c>
      <c r="BD30" s="489"/>
      <c r="BE30" s="488"/>
      <c r="BF30" s="428">
        <v>2.8530128216677832</v>
      </c>
      <c r="BG30" s="428">
        <v>1.1194405293857363</v>
      </c>
      <c r="BH30" s="428">
        <v>8.7836529761274242</v>
      </c>
      <c r="BI30" s="427">
        <v>15.374911736648921</v>
      </c>
      <c r="BJ30" s="427">
        <v>29.955364585942405</v>
      </c>
      <c r="BK30" s="425">
        <v>0.63463969575902868</v>
      </c>
      <c r="BL30" s="422"/>
      <c r="BM30" s="424">
        <v>47.54699897766109</v>
      </c>
      <c r="BN30" s="423">
        <v>0.83296504545453531</v>
      </c>
      <c r="BO30" s="422"/>
      <c r="BP30" s="421" t="s">
        <v>500</v>
      </c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</row>
    <row r="31" spans="1:105" ht="18" thickBot="1">
      <c r="A31" s="933" t="s">
        <v>1395</v>
      </c>
      <c r="B31" s="933" t="s">
        <v>8</v>
      </c>
      <c r="C31" s="382"/>
      <c r="D31" s="382"/>
      <c r="E31" s="382"/>
      <c r="F31" s="382"/>
      <c r="G31" s="382"/>
      <c r="H31" s="382"/>
      <c r="I31" s="382"/>
      <c r="J31" s="382"/>
      <c r="K31" s="382"/>
      <c r="L31" s="1329">
        <f>L35/F35</f>
        <v>1.9556544134802902</v>
      </c>
      <c r="M31" s="972">
        <f>L31*SQRT((M35/L35)^2 + (G35/F35)^2)</f>
        <v>9.078055804167591E-2</v>
      </c>
      <c r="N31" s="973">
        <f>2*M31</f>
        <v>0.18156111608335182</v>
      </c>
      <c r="P31" s="382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1481">
        <f>L35/I35</f>
        <v>20.724771828218323</v>
      </c>
      <c r="AB31" s="1489">
        <f>AA31*SQRT((M35/L35)^2 + (J35/I35)^2)</f>
        <v>0.4162838789192978</v>
      </c>
      <c r="AC31" s="1487">
        <f>2*AB31</f>
        <v>0.8325677578385956</v>
      </c>
      <c r="AD31" s="1489"/>
      <c r="AE31" s="972">
        <f>I35/F35</f>
        <v>9.4363133630138249E-2</v>
      </c>
      <c r="AF31" s="1486">
        <f>AE31*SQRT((G35/F35)^2 + (J35/I35)^2)</f>
        <v>4.7213299109674384E-3</v>
      </c>
      <c r="AG31" s="1490">
        <f>2*AF31</f>
        <v>9.4426598219348769E-3</v>
      </c>
      <c r="AH31" s="386"/>
      <c r="AJ31" s="420" t="s">
        <v>88</v>
      </c>
      <c r="AK31" s="415">
        <v>-7.1787795586650809</v>
      </c>
      <c r="AL31" s="414">
        <v>23.537471046320153</v>
      </c>
      <c r="AM31" s="413">
        <v>11.086060245408214</v>
      </c>
      <c r="AN31" s="1036">
        <v>937000</v>
      </c>
      <c r="AO31" s="414">
        <v>4641.090256957671</v>
      </c>
      <c r="AP31" s="414">
        <v>53699.926417983363</v>
      </c>
      <c r="AQ31" s="414">
        <v>55185.568217706568</v>
      </c>
      <c r="AR31" s="414">
        <v>143.71942774249686</v>
      </c>
      <c r="AS31" s="418" t="s">
        <v>589</v>
      </c>
      <c r="AT31" s="417" t="s">
        <v>588</v>
      </c>
      <c r="AU31" s="414">
        <v>60.025237919346779</v>
      </c>
      <c r="AV31" s="414">
        <v>177.98958356305795</v>
      </c>
      <c r="AW31" s="414">
        <v>183.63378443314502</v>
      </c>
      <c r="AX31" s="415">
        <v>3.9847329175901005</v>
      </c>
      <c r="AY31" s="415">
        <v>6.753514470901786</v>
      </c>
      <c r="AZ31" s="414">
        <v>19.85956476409384</v>
      </c>
      <c r="BA31" s="415">
        <v>2.0715570842571558</v>
      </c>
      <c r="BB31" s="415">
        <v>1.5013250549681987</v>
      </c>
      <c r="BC31" s="413" t="s">
        <v>587</v>
      </c>
      <c r="BD31" s="487"/>
      <c r="BE31" s="486"/>
      <c r="BF31" s="415">
        <v>2.8470089770660465</v>
      </c>
      <c r="BG31" s="415">
        <v>1.1604553503429293</v>
      </c>
      <c r="BH31" s="414">
        <v>10.094501770771512</v>
      </c>
      <c r="BI31" s="414">
        <v>14.825953761700125</v>
      </c>
      <c r="BJ31" s="414">
        <v>30.243902197641969</v>
      </c>
      <c r="BK31" s="413">
        <v>0.68512809354208537</v>
      </c>
      <c r="BL31" s="410"/>
      <c r="BM31" s="412">
        <v>48.189996719360394</v>
      </c>
      <c r="BN31" s="411">
        <v>0.78376443539722362</v>
      </c>
      <c r="BO31" s="410"/>
      <c r="BP31" s="409" t="s">
        <v>498</v>
      </c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</row>
    <row r="32" spans="1:105" ht="18" thickBot="1">
      <c r="C32" s="382"/>
      <c r="E32" s="397" t="s">
        <v>576</v>
      </c>
      <c r="F32" s="755" t="s">
        <v>393</v>
      </c>
      <c r="G32" s="771" t="s">
        <v>575</v>
      </c>
      <c r="H32" s="772"/>
      <c r="I32" s="762"/>
      <c r="J32" s="755"/>
      <c r="K32" s="755"/>
      <c r="L32" s="772"/>
      <c r="M32" s="772"/>
      <c r="W32" s="772"/>
      <c r="X32" s="772"/>
      <c r="Y32" s="772"/>
      <c r="Z32" s="772"/>
      <c r="AA32" s="772"/>
      <c r="AB32" s="772"/>
      <c r="AJ32" s="396" t="s">
        <v>586</v>
      </c>
      <c r="AK32" s="401">
        <v>-129.40591797798709</v>
      </c>
      <c r="AL32" s="401">
        <v>124.72426771875287</v>
      </c>
      <c r="AM32" s="400">
        <v>1.1897958920623</v>
      </c>
      <c r="AN32" s="1034">
        <v>830000</v>
      </c>
      <c r="AO32" s="401">
        <v>7600.9716470897511</v>
      </c>
      <c r="AP32" s="401">
        <v>162662.93729819727</v>
      </c>
      <c r="AQ32" s="401">
        <v>160281.66679345581</v>
      </c>
      <c r="AR32" s="402">
        <v>1.6772181887278692</v>
      </c>
      <c r="AS32" s="403" t="s">
        <v>463</v>
      </c>
      <c r="AT32" s="403" t="s">
        <v>585</v>
      </c>
      <c r="AU32" s="403" t="s">
        <v>160</v>
      </c>
      <c r="AV32" s="401">
        <v>13.833073771133783</v>
      </c>
      <c r="AW32" s="403" t="s">
        <v>550</v>
      </c>
      <c r="AX32" s="403" t="s">
        <v>584</v>
      </c>
      <c r="AY32" s="401">
        <v>22.274171157284869</v>
      </c>
      <c r="AZ32" s="401">
        <v>25.70078079068491</v>
      </c>
      <c r="BA32" s="402">
        <v>2.9191585473399244</v>
      </c>
      <c r="BB32" s="402">
        <v>5.0950313682093826</v>
      </c>
      <c r="BC32" s="400" t="s">
        <v>583</v>
      </c>
      <c r="BD32" s="485"/>
      <c r="BE32" s="484"/>
      <c r="BF32" s="402">
        <v>2.6500428545678201</v>
      </c>
      <c r="BG32" s="402">
        <v>2.4675350180506652</v>
      </c>
      <c r="BH32" s="401">
        <v>37.319757572263221</v>
      </c>
      <c r="BI32" s="401">
        <v>25.091591899401759</v>
      </c>
      <c r="BJ32" s="401">
        <v>28.518306577197336</v>
      </c>
      <c r="BK32" s="403" t="s">
        <v>117</v>
      </c>
      <c r="BL32" s="398"/>
      <c r="BM32" s="394">
        <v>44.976999282836893</v>
      </c>
      <c r="BN32" s="399">
        <v>1.0050489607945978</v>
      </c>
      <c r="BO32" s="398"/>
      <c r="BP32" s="398" t="s">
        <v>497</v>
      </c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</row>
    <row r="33" spans="2:105" ht="34">
      <c r="C33" s="382"/>
      <c r="E33" s="773"/>
      <c r="F33" s="746" t="s">
        <v>390</v>
      </c>
      <c r="G33" s="757" t="s">
        <v>1346</v>
      </c>
      <c r="H33" s="1411" t="s">
        <v>1416</v>
      </c>
      <c r="I33" s="746" t="s">
        <v>389</v>
      </c>
      <c r="J33" s="757" t="s">
        <v>1347</v>
      </c>
      <c r="K33" s="1412" t="s">
        <v>1417</v>
      </c>
      <c r="L33" s="746" t="s">
        <v>388</v>
      </c>
      <c r="M33" s="757" t="s">
        <v>1348</v>
      </c>
      <c r="N33" s="1412" t="s">
        <v>1418</v>
      </c>
      <c r="O33" s="385"/>
      <c r="Q33" s="789"/>
      <c r="W33" s="727" t="s">
        <v>574</v>
      </c>
      <c r="X33" s="391" t="s">
        <v>573</v>
      </c>
      <c r="Y33" s="391" t="s">
        <v>572</v>
      </c>
      <c r="Z33" s="390" t="s">
        <v>384</v>
      </c>
      <c r="AJ33" s="396" t="s">
        <v>582</v>
      </c>
      <c r="AK33" s="401">
        <v>-109.33564946218908</v>
      </c>
      <c r="AL33" s="401">
        <v>137.49181492710341</v>
      </c>
      <c r="AM33" s="400">
        <v>4.1041040520991112</v>
      </c>
      <c r="AN33" s="1034">
        <v>830000</v>
      </c>
      <c r="AO33" s="401">
        <v>8054.2209063565733</v>
      </c>
      <c r="AP33" s="401">
        <v>164351.13903541784</v>
      </c>
      <c r="AQ33" s="401">
        <v>162477.70896697766</v>
      </c>
      <c r="AR33" s="402">
        <v>1.5809351894121493</v>
      </c>
      <c r="AS33" s="403" t="s">
        <v>581</v>
      </c>
      <c r="AT33" s="403" t="s">
        <v>580</v>
      </c>
      <c r="AU33" s="403" t="s">
        <v>134</v>
      </c>
      <c r="AV33" s="401">
        <v>13.381509446988085</v>
      </c>
      <c r="AW33" s="403" t="s">
        <v>579</v>
      </c>
      <c r="AX33" s="403" t="s">
        <v>578</v>
      </c>
      <c r="AY33" s="401">
        <v>24.21017771365279</v>
      </c>
      <c r="AZ33" s="401">
        <v>26.802538735562901</v>
      </c>
      <c r="BA33" s="402">
        <v>2.7710432390964259</v>
      </c>
      <c r="BB33" s="402">
        <v>4.3899025568480354</v>
      </c>
      <c r="BC33" s="400" t="s">
        <v>577</v>
      </c>
      <c r="BD33" s="484"/>
      <c r="BE33" s="484"/>
      <c r="BF33" s="402">
        <v>2.6046170742383001</v>
      </c>
      <c r="BG33" s="402">
        <v>2.5447781418312627</v>
      </c>
      <c r="BH33" s="401">
        <v>36.177157216422856</v>
      </c>
      <c r="BI33" s="401">
        <v>25.804129901322188</v>
      </c>
      <c r="BJ33" s="401">
        <v>28.234936674709399</v>
      </c>
      <c r="BK33" s="403" t="s">
        <v>133</v>
      </c>
      <c r="BL33" s="398"/>
      <c r="BM33" s="394">
        <v>49.474996566772504</v>
      </c>
      <c r="BN33" s="399">
        <v>0.89703677365112944</v>
      </c>
      <c r="BO33" s="398"/>
      <c r="BP33" s="398" t="s">
        <v>496</v>
      </c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</row>
    <row r="34" spans="2:105" ht="18" thickBot="1">
      <c r="C34" s="382"/>
      <c r="E34" s="764" t="s">
        <v>6</v>
      </c>
      <c r="F34" s="1413">
        <v>41.538294736842104</v>
      </c>
      <c r="G34" s="755">
        <v>0.9826687438898587</v>
      </c>
      <c r="H34" s="1418" cm="1">
        <f t="array" ref="H34:H36">2*G34:G36</f>
        <v>1.9653374877797174</v>
      </c>
      <c r="I34" s="1413">
        <v>61.172133333333335</v>
      </c>
      <c r="J34" s="1408">
        <v>0.22</v>
      </c>
      <c r="K34" s="1416" cm="1">
        <f t="array" ref="K34:K36">2*J34:J36</f>
        <v>0.44</v>
      </c>
      <c r="L34" s="1413">
        <v>45.415266666666668</v>
      </c>
      <c r="M34" s="755">
        <v>0.32049057634165917</v>
      </c>
      <c r="N34" s="1414" cm="1">
        <f t="array" ref="N34:N36">2*M34:M36</f>
        <v>0.64098115268331834</v>
      </c>
      <c r="Q34" s="755"/>
      <c r="W34" s="389"/>
      <c r="X34" s="388" t="s">
        <v>571</v>
      </c>
      <c r="Y34" s="388" t="s">
        <v>570</v>
      </c>
      <c r="Z34" s="387" t="s">
        <v>569</v>
      </c>
      <c r="AJ34" s="309"/>
      <c r="AK34" s="307"/>
      <c r="AL34" s="307"/>
      <c r="AM34" s="307"/>
      <c r="AN34" s="1040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</row>
    <row r="35" spans="2:105" ht="18" thickBot="1">
      <c r="E35" s="764" t="s">
        <v>8</v>
      </c>
      <c r="F35" s="1413">
        <v>27.324936842105259</v>
      </c>
      <c r="G35" s="755">
        <v>1.26031030554025</v>
      </c>
      <c r="H35" s="1418">
        <v>2.5206206110805001</v>
      </c>
      <c r="I35" s="725">
        <v>2.5784666666666665</v>
      </c>
      <c r="J35" s="1408">
        <v>0.05</v>
      </c>
      <c r="K35" s="1408">
        <v>0.1</v>
      </c>
      <c r="L35" s="1413">
        <v>53.438133333333333</v>
      </c>
      <c r="M35" s="755">
        <v>0.27989560979220934</v>
      </c>
      <c r="N35" s="1414">
        <v>0.55979121958441869</v>
      </c>
      <c r="Q35" s="755"/>
      <c r="Z35" s="762"/>
      <c r="AA35" s="762"/>
      <c r="AB35" s="762"/>
      <c r="AC35" s="762"/>
      <c r="AD35" s="762"/>
      <c r="AE35" s="762"/>
      <c r="AF35" s="762"/>
      <c r="AJ35" s="309" t="s">
        <v>391</v>
      </c>
      <c r="AK35" s="308">
        <v>0.7</v>
      </c>
      <c r="AL35" s="311">
        <v>192</v>
      </c>
      <c r="AM35" s="311">
        <v>10</v>
      </c>
      <c r="AN35" s="446">
        <v>830000</v>
      </c>
      <c r="AO35" s="311">
        <v>7890</v>
      </c>
      <c r="AP35" s="311">
        <v>160000</v>
      </c>
      <c r="AQ35" s="311">
        <v>160000</v>
      </c>
      <c r="AR35" s="308">
        <v>2.15</v>
      </c>
      <c r="AS35" s="310">
        <v>0.4</v>
      </c>
      <c r="AT35" s="310">
        <v>0.4</v>
      </c>
      <c r="AU35" s="310">
        <v>0.192</v>
      </c>
      <c r="AV35" s="310">
        <v>4.9000000000000002E-2</v>
      </c>
      <c r="AW35" s="310">
        <v>4.9000000000000002E-2</v>
      </c>
      <c r="AX35" s="310">
        <v>0.48</v>
      </c>
      <c r="AY35" s="308">
        <v>24.6</v>
      </c>
      <c r="AZ35" s="311">
        <v>29.15</v>
      </c>
      <c r="BA35" s="308">
        <v>3.58</v>
      </c>
      <c r="BB35" s="308">
        <v>6.1980000000000004</v>
      </c>
      <c r="BC35" s="310">
        <v>0.1</v>
      </c>
      <c r="BD35" s="308">
        <v>0.6</v>
      </c>
      <c r="BE35" s="308">
        <v>0.19</v>
      </c>
      <c r="BF35" s="308">
        <v>3.1</v>
      </c>
      <c r="BG35" s="308">
        <v>2.73</v>
      </c>
      <c r="BH35" s="308">
        <v>39.22</v>
      </c>
      <c r="BI35" s="308">
        <v>27.6</v>
      </c>
      <c r="BJ35" s="308">
        <v>30.8</v>
      </c>
      <c r="BK35" s="310">
        <v>6.8000000000000005E-2</v>
      </c>
      <c r="BL35" s="307"/>
      <c r="BM35" s="307"/>
      <c r="BN35" s="307"/>
      <c r="BO35" s="307"/>
      <c r="BP35" s="307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</row>
    <row r="36" spans="2:105" ht="18" thickBot="1">
      <c r="E36" s="766" t="s">
        <v>380</v>
      </c>
      <c r="F36" s="1415">
        <v>29.808705263157897</v>
      </c>
      <c r="G36" s="756">
        <v>0.5854272571651844</v>
      </c>
      <c r="H36" s="1419">
        <v>1.1708545143303688</v>
      </c>
      <c r="I36" s="1415">
        <v>36.117733333333341</v>
      </c>
      <c r="J36" s="1409">
        <v>0.13</v>
      </c>
      <c r="K36" s="1417">
        <v>0.26</v>
      </c>
      <c r="L36" s="1351">
        <v>1.8333333333333337E-2</v>
      </c>
      <c r="M36" s="1410">
        <v>1.2607631853460064E-2</v>
      </c>
      <c r="N36" s="1350">
        <v>2.5215263706920128E-2</v>
      </c>
      <c r="Q36" s="755"/>
      <c r="Z36" s="762"/>
      <c r="AA36" s="762"/>
      <c r="AB36" s="762"/>
      <c r="AC36" s="762"/>
      <c r="AD36" s="762"/>
      <c r="AE36" s="762"/>
      <c r="AF36" s="762"/>
      <c r="AJ36" s="309"/>
      <c r="AK36" s="308" t="s">
        <v>94</v>
      </c>
      <c r="AL36" s="308" t="s">
        <v>94</v>
      </c>
      <c r="AM36" s="308" t="s">
        <v>94</v>
      </c>
      <c r="AN36" s="308" t="s">
        <v>94</v>
      </c>
      <c r="AO36" s="308" t="s">
        <v>94</v>
      </c>
      <c r="AP36" s="308" t="s">
        <v>94</v>
      </c>
      <c r="AQ36" s="308" t="s">
        <v>94</v>
      </c>
      <c r="AR36" s="308" t="s">
        <v>94</v>
      </c>
      <c r="AS36" s="308" t="s">
        <v>94</v>
      </c>
      <c r="AT36" s="308" t="s">
        <v>94</v>
      </c>
      <c r="AU36" s="308" t="s">
        <v>94</v>
      </c>
      <c r="AV36" s="308" t="s">
        <v>94</v>
      </c>
      <c r="AW36" s="308" t="s">
        <v>94</v>
      </c>
      <c r="AX36" s="308" t="s">
        <v>94</v>
      </c>
      <c r="AY36" s="308" t="s">
        <v>94</v>
      </c>
      <c r="AZ36" s="308" t="s">
        <v>94</v>
      </c>
      <c r="BA36" s="308" t="s">
        <v>94</v>
      </c>
      <c r="BB36" s="308" t="s">
        <v>94</v>
      </c>
      <c r="BC36" s="308" t="s">
        <v>94</v>
      </c>
      <c r="BD36" s="308" t="s">
        <v>94</v>
      </c>
      <c r="BE36" s="308" t="s">
        <v>94</v>
      </c>
      <c r="BF36" s="308" t="s">
        <v>94</v>
      </c>
      <c r="BG36" s="308" t="s">
        <v>94</v>
      </c>
      <c r="BH36" s="308" t="s">
        <v>94</v>
      </c>
      <c r="BI36" s="308" t="s">
        <v>94</v>
      </c>
      <c r="BJ36" s="308" t="s">
        <v>94</v>
      </c>
      <c r="BK36" s="308" t="s">
        <v>94</v>
      </c>
      <c r="BL36" s="307"/>
      <c r="BM36" s="307"/>
      <c r="BN36" s="307"/>
      <c r="BO36" s="307"/>
      <c r="BP36" s="307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</row>
    <row r="37" spans="2:105">
      <c r="E37" s="762" t="s">
        <v>379</v>
      </c>
      <c r="F37" s="755">
        <f>SUM(F34:F36)</f>
        <v>98.671936842105254</v>
      </c>
      <c r="G37" s="762"/>
      <c r="H37" s="762"/>
      <c r="I37" s="755">
        <f>SUM(I34:I36)</f>
        <v>99.868333333333339</v>
      </c>
      <c r="J37" s="762"/>
      <c r="K37" s="762"/>
      <c r="L37" s="755">
        <f>SUM(L34:L36)</f>
        <v>98.871733333333324</v>
      </c>
      <c r="M37" s="762"/>
      <c r="N37" s="762"/>
      <c r="Y37" s="762"/>
      <c r="Z37" s="762"/>
      <c r="AA37" s="762"/>
      <c r="AB37" s="762"/>
      <c r="AC37" s="762"/>
      <c r="AD37" s="762"/>
      <c r="AE37" s="762"/>
    </row>
    <row r="38" spans="2:105" ht="19">
      <c r="AJ38" s="1052" t="s">
        <v>1397</v>
      </c>
      <c r="AK38" s="381" t="s">
        <v>0</v>
      </c>
      <c r="AL38" s="307"/>
      <c r="AM38" s="307"/>
      <c r="AN38" s="373"/>
      <c r="AO38" s="373"/>
      <c r="AP38" s="307"/>
      <c r="AQ38" s="307"/>
      <c r="AR38" s="307"/>
      <c r="AS38" s="307"/>
      <c r="AT38" s="307"/>
      <c r="AU38" s="307"/>
      <c r="AV38" s="307"/>
      <c r="AW38" s="373"/>
      <c r="AX38" s="373"/>
      <c r="AY38" s="373"/>
      <c r="AZ38" s="373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2:105" ht="18" thickBot="1">
      <c r="AJ39" s="380"/>
      <c r="AK39" s="307" t="s">
        <v>568</v>
      </c>
      <c r="AL39" s="307"/>
      <c r="AM39" s="307"/>
      <c r="AN39" s="307"/>
      <c r="AO39" s="373"/>
      <c r="AP39" s="307"/>
      <c r="AQ39" s="307"/>
      <c r="AR39" s="307"/>
      <c r="AS39" s="307"/>
      <c r="AT39" s="379"/>
      <c r="AU39" s="378">
        <v>43696.498900462961</v>
      </c>
      <c r="AV39" s="307"/>
      <c r="AW39" s="379"/>
      <c r="AX39" s="378"/>
      <c r="AY39" s="373"/>
      <c r="AZ39" s="373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2:105" ht="17">
      <c r="AJ40" s="309" t="s">
        <v>2</v>
      </c>
      <c r="AK40" s="375" t="s">
        <v>3</v>
      </c>
      <c r="AL40" s="375" t="s">
        <v>4</v>
      </c>
      <c r="AM40" s="375" t="s">
        <v>5</v>
      </c>
      <c r="AN40" s="377" t="s">
        <v>6</v>
      </c>
      <c r="AO40" s="375" t="s">
        <v>7</v>
      </c>
      <c r="AP40" s="375" t="s">
        <v>8</v>
      </c>
      <c r="AQ40" s="375" t="s">
        <v>8</v>
      </c>
      <c r="AR40" s="375" t="s">
        <v>9</v>
      </c>
      <c r="AS40" s="375" t="s">
        <v>10</v>
      </c>
      <c r="AT40" s="375" t="s">
        <v>10</v>
      </c>
      <c r="AU40" s="375" t="s">
        <v>11</v>
      </c>
      <c r="AV40" s="375" t="s">
        <v>12</v>
      </c>
      <c r="AW40" s="375" t="s">
        <v>12</v>
      </c>
      <c r="AX40" s="375" t="s">
        <v>13</v>
      </c>
      <c r="AY40" s="375" t="s">
        <v>14</v>
      </c>
      <c r="AZ40" s="375" t="s">
        <v>15</v>
      </c>
      <c r="BA40" s="375" t="s">
        <v>16</v>
      </c>
      <c r="BB40" s="375" t="s">
        <v>17</v>
      </c>
      <c r="BC40" s="375" t="s">
        <v>18</v>
      </c>
      <c r="BD40" s="375" t="s">
        <v>19</v>
      </c>
      <c r="BE40" s="375" t="s">
        <v>20</v>
      </c>
      <c r="BF40" s="375" t="s">
        <v>21</v>
      </c>
      <c r="BG40" s="375" t="s">
        <v>22</v>
      </c>
      <c r="BH40" s="375" t="s">
        <v>23</v>
      </c>
      <c r="BI40" s="375" t="s">
        <v>24</v>
      </c>
      <c r="BJ40" s="375" t="s">
        <v>25</v>
      </c>
      <c r="BK40" s="375" t="s">
        <v>26</v>
      </c>
      <c r="BL40" s="307"/>
      <c r="BM40" s="375" t="s">
        <v>29</v>
      </c>
      <c r="BN40" s="375" t="s">
        <v>30</v>
      </c>
      <c r="BO40" s="375"/>
      <c r="BP40" s="375" t="s">
        <v>31</v>
      </c>
    </row>
    <row r="41" spans="2:105" ht="17">
      <c r="AJ41" s="309" t="s">
        <v>32</v>
      </c>
      <c r="AK41" s="307">
        <v>51</v>
      </c>
      <c r="AL41" s="307">
        <v>53</v>
      </c>
      <c r="AM41" s="307">
        <v>55</v>
      </c>
      <c r="AN41" s="370">
        <v>57</v>
      </c>
      <c r="AO41" s="307">
        <v>59</v>
      </c>
      <c r="AP41" s="307">
        <v>61</v>
      </c>
      <c r="AQ41" s="307">
        <v>62</v>
      </c>
      <c r="AR41" s="307">
        <v>63</v>
      </c>
      <c r="AS41" s="307">
        <v>66</v>
      </c>
      <c r="AT41" s="307">
        <v>67</v>
      </c>
      <c r="AU41" s="307">
        <v>69</v>
      </c>
      <c r="AV41" s="307">
        <v>72</v>
      </c>
      <c r="AW41" s="307">
        <v>73</v>
      </c>
      <c r="AX41" s="307">
        <v>75</v>
      </c>
      <c r="AY41" s="307">
        <v>95</v>
      </c>
      <c r="AZ41" s="307">
        <v>101</v>
      </c>
      <c r="BA41" s="307">
        <v>103</v>
      </c>
      <c r="BB41" s="307">
        <v>105</v>
      </c>
      <c r="BC41" s="307">
        <v>107</v>
      </c>
      <c r="BD41" s="307">
        <v>118</v>
      </c>
      <c r="BE41" s="307">
        <v>121</v>
      </c>
      <c r="BF41" s="307">
        <v>184</v>
      </c>
      <c r="BG41" s="307">
        <v>185</v>
      </c>
      <c r="BH41" s="307">
        <v>189</v>
      </c>
      <c r="BI41" s="307">
        <v>193</v>
      </c>
      <c r="BJ41" s="307">
        <v>195</v>
      </c>
      <c r="BK41" s="307">
        <v>197</v>
      </c>
      <c r="BL41" s="307"/>
      <c r="BM41" s="375" t="s">
        <v>33</v>
      </c>
      <c r="BN41" s="375" t="s">
        <v>34</v>
      </c>
      <c r="BO41" s="307"/>
      <c r="BP41" s="307"/>
    </row>
    <row r="42" spans="2:105" ht="17">
      <c r="AJ42" s="309"/>
      <c r="AK42" s="375" t="s">
        <v>35</v>
      </c>
      <c r="AL42" s="375" t="s">
        <v>35</v>
      </c>
      <c r="AM42" s="375" t="s">
        <v>35</v>
      </c>
      <c r="AN42" s="376" t="s">
        <v>35</v>
      </c>
      <c r="AO42" s="375" t="s">
        <v>35</v>
      </c>
      <c r="AP42" s="375" t="s">
        <v>35</v>
      </c>
      <c r="AQ42" s="375" t="s">
        <v>35</v>
      </c>
      <c r="AR42" s="375" t="s">
        <v>35</v>
      </c>
      <c r="AS42" s="375" t="s">
        <v>35</v>
      </c>
      <c r="AT42" s="375" t="s">
        <v>35</v>
      </c>
      <c r="AU42" s="375" t="s">
        <v>35</v>
      </c>
      <c r="AV42" s="375" t="s">
        <v>35</v>
      </c>
      <c r="AW42" s="375" t="s">
        <v>35</v>
      </c>
      <c r="AX42" s="375" t="s">
        <v>35</v>
      </c>
      <c r="AY42" s="375" t="s">
        <v>35</v>
      </c>
      <c r="AZ42" s="375" t="s">
        <v>35</v>
      </c>
      <c r="BA42" s="375" t="s">
        <v>35</v>
      </c>
      <c r="BB42" s="375" t="s">
        <v>35</v>
      </c>
      <c r="BC42" s="375" t="s">
        <v>35</v>
      </c>
      <c r="BD42" s="375" t="s">
        <v>35</v>
      </c>
      <c r="BE42" s="375" t="s">
        <v>35</v>
      </c>
      <c r="BF42" s="375" t="s">
        <v>35</v>
      </c>
      <c r="BG42" s="375" t="s">
        <v>35</v>
      </c>
      <c r="BH42" s="375" t="s">
        <v>35</v>
      </c>
      <c r="BI42" s="375" t="s">
        <v>35</v>
      </c>
      <c r="BJ42" s="375" t="s">
        <v>35</v>
      </c>
      <c r="BK42" s="375" t="s">
        <v>35</v>
      </c>
      <c r="BL42" s="307"/>
      <c r="BM42" s="307"/>
      <c r="BN42" s="307"/>
      <c r="BO42" s="307"/>
      <c r="BP42" s="307"/>
    </row>
    <row r="43" spans="2:105" ht="17">
      <c r="AJ43" s="309"/>
      <c r="AK43" s="373"/>
      <c r="AL43" s="373"/>
      <c r="AM43" s="373"/>
      <c r="AN43" s="374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</row>
    <row r="44" spans="2:105" ht="17">
      <c r="AJ44" s="309" t="s">
        <v>36</v>
      </c>
      <c r="AK44" s="308">
        <v>54.3</v>
      </c>
      <c r="AL44" s="311">
        <v>2646</v>
      </c>
      <c r="AM44" s="311">
        <v>1933</v>
      </c>
      <c r="AN44" s="372">
        <v>184300</v>
      </c>
      <c r="AO44" s="311">
        <v>506</v>
      </c>
      <c r="AP44" s="311">
        <v>10770</v>
      </c>
      <c r="AQ44" s="311">
        <v>10770</v>
      </c>
      <c r="AR44" s="311">
        <v>131</v>
      </c>
      <c r="AS44" s="311">
        <v>323</v>
      </c>
      <c r="AT44" s="311">
        <v>323</v>
      </c>
      <c r="AU44" s="310">
        <v>9.7100000000000009</v>
      </c>
      <c r="AV44" s="308">
        <v>32.6</v>
      </c>
      <c r="AW44" s="308">
        <v>32.6</v>
      </c>
      <c r="AX44" s="310">
        <v>1.81</v>
      </c>
      <c r="AY44" s="310">
        <v>0.92800000000000005</v>
      </c>
      <c r="AZ44" s="310">
        <v>0.68300000000000005</v>
      </c>
      <c r="BA44" s="310">
        <v>0.14000000000000001</v>
      </c>
      <c r="BB44" s="310">
        <v>0.55600000000000005</v>
      </c>
      <c r="BC44" s="310">
        <v>0.19700000000000001</v>
      </c>
      <c r="BD44" s="310">
        <v>1.68</v>
      </c>
      <c r="BE44" s="310">
        <v>0.13300000000000001</v>
      </c>
      <c r="BF44" s="310">
        <v>9.0300000000000005E-2</v>
      </c>
      <c r="BG44" s="310">
        <v>3.95E-2</v>
      </c>
      <c r="BH44" s="310">
        <v>0.50600000000000001</v>
      </c>
      <c r="BI44" s="310">
        <v>0.48</v>
      </c>
      <c r="BJ44" s="310">
        <v>0.98199999999999998</v>
      </c>
      <c r="BK44" s="310">
        <v>0.14799999999999999</v>
      </c>
      <c r="BL44" s="307"/>
      <c r="BM44" s="307"/>
      <c r="BN44" s="307"/>
      <c r="BO44" s="307"/>
      <c r="BP44" s="307"/>
    </row>
    <row r="45" spans="2:105" ht="17">
      <c r="B45" s="1375" t="s">
        <v>483</v>
      </c>
      <c r="C45" s="1405">
        <f>(F36/32.06)/((F36/32.06)+(F35/58.69)+(F34/55.847))</f>
        <v>0.43464930167742616</v>
      </c>
      <c r="D45" s="1399" t="s">
        <v>1413</v>
      </c>
      <c r="E45" s="1403">
        <f>2*(C45^2)*SQRT(((((G36*32.06)/ F36^2)^2)*((F34/55.845)^2 + (F35/58.693)^2)^2) + (((G34/55.845)^2 + (G35/58.693)^2)*(32.06/F36)^2))</f>
        <v>1.2846934342008129E-2</v>
      </c>
      <c r="AJ45" s="309" t="s">
        <v>1352</v>
      </c>
      <c r="AK45" s="310">
        <v>1.5392061041119521E-2</v>
      </c>
      <c r="AL45" s="310">
        <v>0.35545107203139936</v>
      </c>
      <c r="AM45" s="310">
        <v>-3.677431440034193</v>
      </c>
      <c r="AN45" s="371">
        <v>7.5571043339185442</v>
      </c>
      <c r="AO45" s="310">
        <v>0.14919061678818071</v>
      </c>
      <c r="AP45" s="310">
        <v>3.6218917405885942</v>
      </c>
      <c r="AQ45" s="310">
        <v>3.6613934287090557</v>
      </c>
      <c r="AR45" s="310">
        <v>4.4263453976877629E-2</v>
      </c>
      <c r="AS45" s="310">
        <v>5.3803330474093684E-2</v>
      </c>
      <c r="AT45" s="310">
        <v>0.20347934951377356</v>
      </c>
      <c r="AU45" s="310">
        <v>3.8827434904226674E-2</v>
      </c>
      <c r="AV45" s="310">
        <v>8.188239458058645E-4</v>
      </c>
      <c r="AW45" s="310">
        <v>5.3933917053753848E-3</v>
      </c>
      <c r="AX45" s="310">
        <v>5.4412522326324021E-2</v>
      </c>
      <c r="AY45" s="310">
        <v>2.6452501472275219E-2</v>
      </c>
      <c r="AZ45" s="310">
        <v>2.309056419296393E-2</v>
      </c>
      <c r="BA45" s="310">
        <v>8.5691029520822103E-3</v>
      </c>
      <c r="BB45" s="310">
        <v>2.0738234467989013E-2</v>
      </c>
      <c r="BC45" s="310">
        <v>-4.633000664097859E-2</v>
      </c>
      <c r="BD45" s="310">
        <v>-0.70949386579893803</v>
      </c>
      <c r="BE45" s="310">
        <v>-0.30860517695044343</v>
      </c>
      <c r="BF45" s="310">
        <v>4.4132342429204809E-3</v>
      </c>
      <c r="BG45" s="310">
        <v>1.07517092825872E-2</v>
      </c>
      <c r="BH45" s="310">
        <v>1.3980185320909522E-2</v>
      </c>
      <c r="BI45" s="310">
        <v>9.5973348546590804E-3</v>
      </c>
      <c r="BJ45" s="310">
        <v>2.3192859384439803E-2</v>
      </c>
      <c r="BK45" s="310">
        <v>1.427961222593844E-2</v>
      </c>
      <c r="BL45" s="307"/>
      <c r="BM45" s="307"/>
      <c r="BN45" s="307"/>
      <c r="BO45" s="307"/>
      <c r="BP45" s="307"/>
    </row>
    <row r="46" spans="2:105" ht="18" thickBot="1">
      <c r="B46" s="1399" t="s">
        <v>1404</v>
      </c>
      <c r="C46" s="1405">
        <f>((F36-G36)/32.06)/(((F36-G36)/32.06)+((F35+G35)/58.69)+((F34+G34)/55.847))</f>
        <v>0.42200777291510022</v>
      </c>
      <c r="D46" s="1401" t="s">
        <v>1414</v>
      </c>
      <c r="E46" s="1403">
        <f>C45-C46</f>
        <v>1.2641528762325938E-2</v>
      </c>
      <c r="AJ46" s="309" t="s">
        <v>1396</v>
      </c>
      <c r="AK46" s="310">
        <v>1.3717279536523056E-2</v>
      </c>
      <c r="AL46" s="310">
        <v>0.29289550670583947</v>
      </c>
      <c r="AM46" s="310">
        <v>-1.2941488915705937</v>
      </c>
      <c r="AN46" s="371">
        <v>6.5087375875013338</v>
      </c>
      <c r="AO46" s="310">
        <v>0.13515337827561794</v>
      </c>
      <c r="AP46" s="310">
        <v>1.9055095152658459</v>
      </c>
      <c r="AQ46" s="310">
        <v>3.2256469981780453</v>
      </c>
      <c r="AR46" s="310">
        <v>5.3976475578720241E-2</v>
      </c>
      <c r="AS46" s="310">
        <v>3.8702646644949712E-2</v>
      </c>
      <c r="AT46" s="310">
        <v>-0.54487826428788633</v>
      </c>
      <c r="AU46" s="310">
        <v>1.9498511962691641E-2</v>
      </c>
      <c r="AV46" s="310">
        <v>8.7666513344961214E-4</v>
      </c>
      <c r="AW46" s="310">
        <v>4.7636234151459938E-3</v>
      </c>
      <c r="AX46" s="310">
        <v>4.3129555969524801E-2</v>
      </c>
      <c r="AY46" s="310">
        <v>2.4465214456874086E-2</v>
      </c>
      <c r="AZ46" s="310">
        <v>3.9731661632938162E-3</v>
      </c>
      <c r="BA46" s="310">
        <v>1.3962538799254692E-3</v>
      </c>
      <c r="BB46" s="310">
        <v>1.4324859211359977E-2</v>
      </c>
      <c r="BC46" s="310">
        <v>-1.381438803161397E-2</v>
      </c>
      <c r="BD46" s="310">
        <v>-0.31103795166978276</v>
      </c>
      <c r="BE46" s="310">
        <v>-3.0257727408478114E-2</v>
      </c>
      <c r="BF46" s="310">
        <v>0</v>
      </c>
      <c r="BG46" s="310">
        <v>1.289312458056196E-3</v>
      </c>
      <c r="BH46" s="310">
        <v>0</v>
      </c>
      <c r="BI46" s="310">
        <v>8.1754338438222093E-4</v>
      </c>
      <c r="BJ46" s="310">
        <v>0</v>
      </c>
      <c r="BK46" s="310">
        <v>8.5474222535237999E-3</v>
      </c>
      <c r="BL46" s="307"/>
      <c r="BM46" s="307"/>
      <c r="BN46" s="307"/>
      <c r="BO46" s="307"/>
      <c r="BP46" s="307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</row>
    <row r="47" spans="2:105" ht="17">
      <c r="B47" s="1399" t="s">
        <v>1403</v>
      </c>
      <c r="C47" s="1405">
        <f>((F36+G36)/32.06)/(((F36+G36)/32.06)+((F35-G35)/58.69)+((F34-G34)/55.847))</f>
        <v>0.44753919735343778</v>
      </c>
      <c r="D47" s="1401" t="s">
        <v>1415</v>
      </c>
      <c r="E47" s="1403">
        <f>C47-C45</f>
        <v>1.288989567601162E-2</v>
      </c>
      <c r="AJ47" s="335" t="s">
        <v>100</v>
      </c>
      <c r="AK47" s="330">
        <v>0.67160845067630481</v>
      </c>
      <c r="AL47" s="332">
        <v>188.52261062544073</v>
      </c>
      <c r="AM47" s="330"/>
      <c r="AN47" s="334">
        <v>830000</v>
      </c>
      <c r="AO47" s="332">
        <v>7981.3266829946369</v>
      </c>
      <c r="AP47" s="332">
        <v>163970.83941748465</v>
      </c>
      <c r="AQ47" s="332">
        <v>162178.62128080815</v>
      </c>
      <c r="AR47" s="333"/>
      <c r="AS47" s="331"/>
      <c r="AT47" s="331"/>
      <c r="AU47" s="331"/>
      <c r="AV47" s="330"/>
      <c r="AW47" s="331"/>
      <c r="AX47" s="331"/>
      <c r="AY47" s="332">
        <v>23.839840338918187</v>
      </c>
      <c r="AZ47" s="332">
        <v>28.990343375582636</v>
      </c>
      <c r="BA47" s="333">
        <v>3.5603740297069413</v>
      </c>
      <c r="BB47" s="333">
        <v>6.3968085891303526</v>
      </c>
      <c r="BC47" s="330"/>
      <c r="BD47" s="448">
        <v>0.75406820663619412</v>
      </c>
      <c r="BE47" s="448">
        <v>0.10150960507877461</v>
      </c>
      <c r="BF47" s="333">
        <v>2.9928291891227468</v>
      </c>
      <c r="BG47" s="333">
        <v>2.779638078158237</v>
      </c>
      <c r="BH47" s="332">
        <v>38.711930080180124</v>
      </c>
      <c r="BI47" s="332">
        <v>27.332207724465395</v>
      </c>
      <c r="BJ47" s="332">
        <v>30.281854156733491</v>
      </c>
      <c r="BK47" s="331" t="s">
        <v>139</v>
      </c>
      <c r="BL47" s="327"/>
      <c r="BM47" s="329">
        <v>49.473999023437493</v>
      </c>
      <c r="BN47" s="328">
        <v>1.2179539352475808</v>
      </c>
      <c r="BO47" s="327"/>
      <c r="BP47" s="326" t="s">
        <v>567</v>
      </c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</row>
    <row r="48" spans="2:105" ht="18" thickBot="1">
      <c r="AJ48" s="325" t="s">
        <v>101</v>
      </c>
      <c r="AK48" s="320">
        <v>0.72839116363475753</v>
      </c>
      <c r="AL48" s="321">
        <v>195.47458293225529</v>
      </c>
      <c r="AM48" s="320"/>
      <c r="AN48" s="324">
        <v>830000</v>
      </c>
      <c r="AO48" s="321">
        <v>7798.7079575504604</v>
      </c>
      <c r="AP48" s="321">
        <v>156034.98299243947</v>
      </c>
      <c r="AQ48" s="321">
        <v>157821.54750196252</v>
      </c>
      <c r="AR48" s="322"/>
      <c r="AS48" s="323"/>
      <c r="AT48" s="323"/>
      <c r="AU48" s="323"/>
      <c r="AV48" s="320"/>
      <c r="AW48" s="323"/>
      <c r="AX48" s="323"/>
      <c r="AY48" s="321">
        <v>25.360615266830688</v>
      </c>
      <c r="AZ48" s="321">
        <v>29.309465760656131</v>
      </c>
      <c r="BA48" s="322">
        <v>3.5996580068912989</v>
      </c>
      <c r="BB48" s="322">
        <v>5.9986034036461211</v>
      </c>
      <c r="BC48" s="320"/>
      <c r="BD48" s="447">
        <v>0.43350572667455628</v>
      </c>
      <c r="BE48" s="447">
        <v>0.29517676561855283</v>
      </c>
      <c r="BF48" s="322">
        <v>3.207463788126939</v>
      </c>
      <c r="BG48" s="322">
        <v>2.6806053309663307</v>
      </c>
      <c r="BH48" s="321">
        <v>39.727291558931881</v>
      </c>
      <c r="BI48" s="321">
        <v>27.86734005380637</v>
      </c>
      <c r="BJ48" s="321">
        <v>31.315679350051813</v>
      </c>
      <c r="BK48" s="323" t="s">
        <v>128</v>
      </c>
      <c r="BL48" s="317"/>
      <c r="BM48" s="319">
        <v>39.193996429443395</v>
      </c>
      <c r="BN48" s="318">
        <v>1.0332819470504484</v>
      </c>
      <c r="BO48" s="317"/>
      <c r="BP48" s="316" t="s">
        <v>566</v>
      </c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</row>
    <row r="49" spans="36:105" ht="17">
      <c r="AJ49" s="315" t="s">
        <v>565</v>
      </c>
      <c r="AK49" s="452" t="s">
        <v>192</v>
      </c>
      <c r="AL49" s="339">
        <v>34.015670146392814</v>
      </c>
      <c r="AM49" s="338"/>
      <c r="AN49" s="342">
        <v>937000</v>
      </c>
      <c r="AO49" s="339">
        <v>4473.137419760882</v>
      </c>
      <c r="AP49" s="339">
        <v>51880.331999491966</v>
      </c>
      <c r="AQ49" s="339">
        <v>50011.093738969954</v>
      </c>
      <c r="AR49" s="339"/>
      <c r="AS49" s="453"/>
      <c r="AT49" s="453"/>
      <c r="AU49" s="339"/>
      <c r="AV49" s="338"/>
      <c r="AW49" s="340"/>
      <c r="AX49" s="340"/>
      <c r="AY49" s="340">
        <v>5.4454385040737376</v>
      </c>
      <c r="AZ49" s="339">
        <v>21.717534964764102</v>
      </c>
      <c r="BA49" s="340">
        <v>2.2922576492946023</v>
      </c>
      <c r="BB49" s="340">
        <v>1.6662050896468565</v>
      </c>
      <c r="BC49" s="338"/>
      <c r="BD49" s="450">
        <v>-1.8252623889264177</v>
      </c>
      <c r="BE49" s="450">
        <v>0.94144867076086092</v>
      </c>
      <c r="BF49" s="340">
        <v>2.7849900734735451</v>
      </c>
      <c r="BG49" s="340">
        <v>1.2158179116487009</v>
      </c>
      <c r="BH49" s="340">
        <v>9.9488351774845931</v>
      </c>
      <c r="BI49" s="339">
        <v>15.735842840963857</v>
      </c>
      <c r="BJ49" s="339">
        <v>31.412225303352006</v>
      </c>
      <c r="BK49" s="338">
        <v>0.67470213843910698</v>
      </c>
      <c r="BL49" s="336"/>
      <c r="BM49" s="313">
        <v>44.976999282836893</v>
      </c>
      <c r="BN49" s="337">
        <v>1.134929592306217</v>
      </c>
      <c r="BO49" s="336"/>
      <c r="BP49" s="336" t="s">
        <v>564</v>
      </c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</row>
    <row r="50" spans="36:105" ht="17">
      <c r="AJ50" s="315" t="s">
        <v>563</v>
      </c>
      <c r="AK50" s="453" t="s">
        <v>326</v>
      </c>
      <c r="AL50" s="339">
        <v>38.075418726609477</v>
      </c>
      <c r="AM50" s="338"/>
      <c r="AN50" s="342">
        <v>937000</v>
      </c>
      <c r="AO50" s="339">
        <v>4671.8415129504619</v>
      </c>
      <c r="AP50" s="339">
        <v>54059.603982728026</v>
      </c>
      <c r="AQ50" s="339">
        <v>50842.504841430513</v>
      </c>
      <c r="AR50" s="339"/>
      <c r="AS50" s="453"/>
      <c r="AT50" s="453"/>
      <c r="AU50" s="339"/>
      <c r="AV50" s="338"/>
      <c r="AW50" s="340"/>
      <c r="AX50" s="340"/>
      <c r="AY50" s="340">
        <v>7.2733918122364036</v>
      </c>
      <c r="AZ50" s="339">
        <v>22.45161154752353</v>
      </c>
      <c r="BA50" s="340">
        <v>2.473629352642408</v>
      </c>
      <c r="BB50" s="340">
        <v>1.7088747719956292</v>
      </c>
      <c r="BC50" s="338"/>
      <c r="BD50" s="450">
        <v>-1.7974093552601766</v>
      </c>
      <c r="BE50" s="451">
        <v>1.9802398374191335</v>
      </c>
      <c r="BF50" s="340">
        <v>2.9090466757670863</v>
      </c>
      <c r="BG50" s="340">
        <v>1.245810905107128</v>
      </c>
      <c r="BH50" s="340">
        <v>9.7696436332165693</v>
      </c>
      <c r="BI50" s="339">
        <v>16.213434772452075</v>
      </c>
      <c r="BJ50" s="339">
        <v>33.20915873412293</v>
      </c>
      <c r="BK50" s="338">
        <v>0.62055702270396496</v>
      </c>
      <c r="BL50" s="336"/>
      <c r="BM50" s="313">
        <v>47.54699897766109</v>
      </c>
      <c r="BN50" s="337">
        <v>1.0562323995994176</v>
      </c>
      <c r="BO50" s="336"/>
      <c r="BP50" s="336" t="s">
        <v>562</v>
      </c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</row>
    <row r="51" spans="36:105" ht="17">
      <c r="AJ51" s="1019" t="s">
        <v>561</v>
      </c>
      <c r="AK51" s="1020" t="s">
        <v>104</v>
      </c>
      <c r="AL51" s="1020" t="s">
        <v>560</v>
      </c>
      <c r="AM51" s="1021"/>
      <c r="AN51" s="1022">
        <v>413100</v>
      </c>
      <c r="AO51" s="1023">
        <v>409.67681405005624</v>
      </c>
      <c r="AP51" s="1023">
        <v>34646.981401724748</v>
      </c>
      <c r="AQ51" s="1023">
        <v>232711.10946820278</v>
      </c>
      <c r="AR51" s="1023"/>
      <c r="AS51" s="1023"/>
      <c r="AT51" s="1023"/>
      <c r="AU51" s="1024"/>
      <c r="AV51" s="1021"/>
      <c r="AW51" s="1021"/>
      <c r="AX51" s="1023"/>
      <c r="AY51" s="1023">
        <v>169.81501561167227</v>
      </c>
      <c r="AZ51" s="1024">
        <v>8.4484758566787264</v>
      </c>
      <c r="BA51" s="1024">
        <v>9.420084073339833</v>
      </c>
      <c r="BB51" s="1023">
        <v>51.136786376606409</v>
      </c>
      <c r="BC51" s="1021"/>
      <c r="BD51" s="1025" t="s">
        <v>559</v>
      </c>
      <c r="BE51" s="1026">
        <v>1181.7364057234154</v>
      </c>
      <c r="BF51" s="1021">
        <v>0.63097188609684396</v>
      </c>
      <c r="BG51" s="1021">
        <v>0.15210251799442728</v>
      </c>
      <c r="BH51" s="1021">
        <v>2.2347936072276472E-2</v>
      </c>
      <c r="BI51" s="1021">
        <v>0.1131054081654892</v>
      </c>
      <c r="BJ51" s="1021">
        <v>0.79948629015915706</v>
      </c>
      <c r="BK51" s="1023">
        <v>44.371788466965185</v>
      </c>
      <c r="BL51" s="1027"/>
      <c r="BM51" s="1028">
        <v>50.116998672485295</v>
      </c>
      <c r="BN51" s="1029">
        <v>3.3714535014386544</v>
      </c>
      <c r="BO51" s="1027"/>
      <c r="BP51" s="1030" t="s">
        <v>558</v>
      </c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</row>
    <row r="52" spans="36:105" ht="17">
      <c r="AJ52" s="1031" t="s">
        <v>523</v>
      </c>
      <c r="AK52" s="986" t="s">
        <v>124</v>
      </c>
      <c r="AL52" s="986" t="s">
        <v>522</v>
      </c>
      <c r="AM52" s="979"/>
      <c r="AN52" s="1032">
        <v>413100</v>
      </c>
      <c r="AO52" s="979">
        <v>439.06152604347335</v>
      </c>
      <c r="AP52" s="979"/>
      <c r="AQ52" s="979">
        <v>299428.09347184171</v>
      </c>
      <c r="AR52" s="979"/>
      <c r="AS52" s="979"/>
      <c r="AT52" s="979"/>
      <c r="AU52" s="980"/>
      <c r="AV52" s="978"/>
      <c r="AW52" s="978"/>
      <c r="AX52" s="979"/>
      <c r="AY52" s="979">
        <v>182.43292406401773</v>
      </c>
      <c r="AZ52" s="980">
        <v>6.3016085312979637</v>
      </c>
      <c r="BA52" s="980">
        <v>6.18825550107994</v>
      </c>
      <c r="BB52" s="979">
        <v>41.45208513548797</v>
      </c>
      <c r="BC52" s="978"/>
      <c r="BD52" s="981" t="s">
        <v>521</v>
      </c>
      <c r="BE52" s="981" t="s">
        <v>509</v>
      </c>
      <c r="BF52" s="978">
        <v>0.5785520402102976</v>
      </c>
      <c r="BG52" s="978">
        <v>0.14957235872895053</v>
      </c>
      <c r="BH52" s="978">
        <v>5.8911441369017013E-2</v>
      </c>
      <c r="BI52" s="978">
        <v>0.12721650155921924</v>
      </c>
      <c r="BJ52" s="978">
        <v>0.75958688373560246</v>
      </c>
      <c r="BK52" s="979">
        <v>51.058140583911829</v>
      </c>
      <c r="BL52" s="983"/>
      <c r="BM52" s="984">
        <v>48.8319988250732</v>
      </c>
      <c r="BN52" s="985">
        <v>4.8180442364201976</v>
      </c>
      <c r="BO52" s="983"/>
      <c r="BP52" s="1033" t="s">
        <v>508</v>
      </c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</row>
    <row r="53" spans="36:105" ht="17">
      <c r="AJ53" s="1031" t="s">
        <v>519</v>
      </c>
      <c r="AK53" s="986" t="s">
        <v>167</v>
      </c>
      <c r="AL53" s="986" t="s">
        <v>518</v>
      </c>
      <c r="AM53" s="979"/>
      <c r="AN53" s="1032">
        <v>413100</v>
      </c>
      <c r="AO53" s="979">
        <v>430.38186502165695</v>
      </c>
      <c r="AP53" s="979"/>
      <c r="AQ53" s="979">
        <v>270491.22798975685</v>
      </c>
      <c r="AR53" s="979"/>
      <c r="AS53" s="979"/>
      <c r="AT53" s="979"/>
      <c r="AU53" s="980"/>
      <c r="AV53" s="978"/>
      <c r="AW53" s="978"/>
      <c r="AX53" s="979"/>
      <c r="AY53" s="979">
        <v>172.46932080068501</v>
      </c>
      <c r="AZ53" s="980">
        <v>9.4850301393013066</v>
      </c>
      <c r="BA53" s="979">
        <v>10.605640928094894</v>
      </c>
      <c r="BB53" s="979">
        <v>60.573495702823273</v>
      </c>
      <c r="BC53" s="978"/>
      <c r="BD53" s="981" t="s">
        <v>517</v>
      </c>
      <c r="BE53" s="981" t="s">
        <v>516</v>
      </c>
      <c r="BF53" s="978">
        <v>0.61723642189330641</v>
      </c>
      <c r="BG53" s="978">
        <v>0.19124465128815585</v>
      </c>
      <c r="BH53" s="978">
        <v>7.0165784934017664E-2</v>
      </c>
      <c r="BI53" s="978">
        <v>0.15118494365692917</v>
      </c>
      <c r="BJ53" s="978">
        <v>0.9319059795566812</v>
      </c>
      <c r="BK53" s="979">
        <v>58.918894467676616</v>
      </c>
      <c r="BL53" s="983"/>
      <c r="BM53" s="984">
        <v>48.188999176025291</v>
      </c>
      <c r="BN53" s="985">
        <v>5.0902864008361286</v>
      </c>
      <c r="BO53" s="983"/>
      <c r="BP53" s="1033" t="s">
        <v>515</v>
      </c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</row>
    <row r="54" spans="36:105" ht="17">
      <c r="AJ54" s="1031" t="s">
        <v>514</v>
      </c>
      <c r="AK54" s="978">
        <v>4.6027418070504568E-2</v>
      </c>
      <c r="AL54" s="977" t="s">
        <v>513</v>
      </c>
      <c r="AM54" s="978"/>
      <c r="AN54" s="1032">
        <v>413100</v>
      </c>
      <c r="AO54" s="979">
        <v>395.42875229852115</v>
      </c>
      <c r="AP54" s="979"/>
      <c r="AQ54" s="979">
        <v>233883.9542326699</v>
      </c>
      <c r="AR54" s="979"/>
      <c r="AS54" s="979"/>
      <c r="AT54" s="979"/>
      <c r="AU54" s="980"/>
      <c r="AV54" s="978"/>
      <c r="AW54" s="978"/>
      <c r="AX54" s="979"/>
      <c r="AY54" s="979">
        <v>196.10230257314947</v>
      </c>
      <c r="AZ54" s="980">
        <v>7.2449620553685383</v>
      </c>
      <c r="BA54" s="980">
        <v>8.3487275335822009</v>
      </c>
      <c r="BB54" s="979">
        <v>45.051391627509375</v>
      </c>
      <c r="BC54" s="978"/>
      <c r="BD54" s="981" t="s">
        <v>512</v>
      </c>
      <c r="BE54" s="981" t="s">
        <v>511</v>
      </c>
      <c r="BF54" s="978">
        <v>0.79300283000648686</v>
      </c>
      <c r="BG54" s="978">
        <v>0.11854058532496807</v>
      </c>
      <c r="BH54" s="978">
        <v>2.9290719796238984E-2</v>
      </c>
      <c r="BI54" s="978">
        <v>8.9190448979774295E-2</v>
      </c>
      <c r="BJ54" s="978">
        <v>0.60425510015161032</v>
      </c>
      <c r="BK54" s="979">
        <v>42.717683572687179</v>
      </c>
      <c r="BL54" s="983"/>
      <c r="BM54" s="984">
        <v>50.116996765136797</v>
      </c>
      <c r="BN54" s="985">
        <v>5.6027792740627929</v>
      </c>
      <c r="BO54" s="983"/>
      <c r="BP54" s="1033" t="s">
        <v>508</v>
      </c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</row>
    <row r="55" spans="36:105" ht="17">
      <c r="AJ55" s="1031" t="s">
        <v>510</v>
      </c>
      <c r="AK55" s="987" t="s">
        <v>57</v>
      </c>
      <c r="AL55" s="977" t="s">
        <v>200</v>
      </c>
      <c r="AM55" s="978"/>
      <c r="AN55" s="1032">
        <v>413100</v>
      </c>
      <c r="AO55" s="979">
        <v>466.67920415418462</v>
      </c>
      <c r="AP55" s="979"/>
      <c r="AQ55" s="979">
        <v>290242.09165168379</v>
      </c>
      <c r="AR55" s="979"/>
      <c r="AS55" s="979"/>
      <c r="AT55" s="979"/>
      <c r="AU55" s="980"/>
      <c r="AV55" s="978"/>
      <c r="AW55" s="978"/>
      <c r="AX55" s="979"/>
      <c r="AY55" s="979">
        <v>176.71141859217983</v>
      </c>
      <c r="AZ55" s="979">
        <v>10.325653946424227</v>
      </c>
      <c r="BA55" s="979">
        <v>11.596822598933217</v>
      </c>
      <c r="BB55" s="979">
        <v>66.440481923022745</v>
      </c>
      <c r="BC55" s="978"/>
      <c r="BD55" s="982">
        <v>38936.856758551185</v>
      </c>
      <c r="BE55" s="981" t="s">
        <v>509</v>
      </c>
      <c r="BF55" s="978">
        <v>0.82359992039991969</v>
      </c>
      <c r="BG55" s="978">
        <v>0.23273242648330214</v>
      </c>
      <c r="BH55" s="978">
        <v>9.7843447879945242E-2</v>
      </c>
      <c r="BI55" s="978">
        <v>0.20599500475454924</v>
      </c>
      <c r="BJ55" s="980">
        <v>1.1486070389747423</v>
      </c>
      <c r="BK55" s="979">
        <v>68.139053475660603</v>
      </c>
      <c r="BL55" s="983"/>
      <c r="BM55" s="984">
        <v>43.6919975280762</v>
      </c>
      <c r="BN55" s="985">
        <v>4.6208424812682631</v>
      </c>
      <c r="BO55" s="983"/>
      <c r="BP55" s="1033" t="s">
        <v>508</v>
      </c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</row>
    <row r="56" spans="36:105" ht="17">
      <c r="AJ56" s="976" t="s">
        <v>551</v>
      </c>
      <c r="AK56" s="977" t="s">
        <v>57</v>
      </c>
      <c r="AL56" s="977" t="s">
        <v>278</v>
      </c>
      <c r="AM56" s="978"/>
      <c r="AN56" s="1032">
        <v>413100</v>
      </c>
      <c r="AO56" s="979">
        <v>387.2137413662258</v>
      </c>
      <c r="AP56" s="986" t="s">
        <v>550</v>
      </c>
      <c r="AQ56" s="979">
        <v>219702.87393886806</v>
      </c>
      <c r="AR56" s="979"/>
      <c r="AS56" s="979"/>
      <c r="AT56" s="979"/>
      <c r="AU56" s="980">
        <v>4.2458788798558116</v>
      </c>
      <c r="AV56" s="978"/>
      <c r="AW56" s="980"/>
      <c r="AX56" s="979">
        <v>55.186501845999835</v>
      </c>
      <c r="AY56" s="979">
        <v>168.1333526156298</v>
      </c>
      <c r="AZ56" s="980">
        <v>5.3176886100987479</v>
      </c>
      <c r="BA56" s="980">
        <v>5.7820648057074759</v>
      </c>
      <c r="BB56" s="979">
        <v>34.900598296994382</v>
      </c>
      <c r="BC56" s="978"/>
      <c r="BD56" s="978"/>
      <c r="BE56" s="978"/>
      <c r="BF56" s="978">
        <v>0.58946900348612097</v>
      </c>
      <c r="BG56" s="978">
        <v>0.12326075039951831</v>
      </c>
      <c r="BH56" s="978">
        <v>4.9981242046945137E-2</v>
      </c>
      <c r="BI56" s="978">
        <v>8.2126954555010664E-2</v>
      </c>
      <c r="BJ56" s="978">
        <v>0.4177716053785468</v>
      </c>
      <c r="BK56" s="979">
        <v>34.306467164077048</v>
      </c>
      <c r="BL56" s="983"/>
      <c r="BM56" s="984">
        <v>44.976999282836893</v>
      </c>
      <c r="BN56" s="985">
        <v>7.6456530582732567</v>
      </c>
      <c r="BO56" s="983"/>
      <c r="BP56" s="983" t="s">
        <v>549</v>
      </c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</row>
    <row r="57" spans="36:105" ht="17">
      <c r="AJ57" s="976" t="s">
        <v>546</v>
      </c>
      <c r="AK57" s="977" t="s">
        <v>59</v>
      </c>
      <c r="AL57" s="977" t="s">
        <v>545</v>
      </c>
      <c r="AM57" s="978"/>
      <c r="AN57" s="1032">
        <v>413100</v>
      </c>
      <c r="AO57" s="979">
        <v>386.34527907273696</v>
      </c>
      <c r="AP57" s="986" t="s">
        <v>544</v>
      </c>
      <c r="AQ57" s="979">
        <v>222111.79774409177</v>
      </c>
      <c r="AR57" s="979"/>
      <c r="AS57" s="979"/>
      <c r="AT57" s="979"/>
      <c r="AU57" s="980">
        <v>4.8193332239399096</v>
      </c>
      <c r="AV57" s="978"/>
      <c r="AW57" s="980"/>
      <c r="AX57" s="979">
        <v>65.92976928966506</v>
      </c>
      <c r="AY57" s="979">
        <v>189.3913368628597</v>
      </c>
      <c r="AZ57" s="980">
        <v>7.6996040191367987</v>
      </c>
      <c r="BA57" s="980">
        <v>8.3650628566884695</v>
      </c>
      <c r="BB57" s="979">
        <v>50.198848719878434</v>
      </c>
      <c r="BC57" s="978"/>
      <c r="BD57" s="978"/>
      <c r="BE57" s="978"/>
      <c r="BF57" s="978">
        <v>0.49080151296918495</v>
      </c>
      <c r="BG57" s="978">
        <v>0.17221466282949577</v>
      </c>
      <c r="BH57" s="978">
        <v>7.2202373240910375E-2</v>
      </c>
      <c r="BI57" s="978">
        <v>0.16534456515886792</v>
      </c>
      <c r="BJ57" s="978">
        <v>0.7980112662527703</v>
      </c>
      <c r="BK57" s="979">
        <v>65.649535436836189</v>
      </c>
      <c r="BL57" s="983"/>
      <c r="BM57" s="984">
        <v>46.903999328613196</v>
      </c>
      <c r="BN57" s="985">
        <v>7.3433738484047719</v>
      </c>
      <c r="BO57" s="983"/>
      <c r="BP57" s="983" t="s">
        <v>543</v>
      </c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</row>
    <row r="58" spans="36:105" ht="17">
      <c r="AJ58" s="976" t="s">
        <v>537</v>
      </c>
      <c r="AK58" s="979">
        <v>92.578477756122197</v>
      </c>
      <c r="AL58" s="979">
        <v>358.15240769666269</v>
      </c>
      <c r="AM58" s="978"/>
      <c r="AN58" s="1032">
        <v>413100</v>
      </c>
      <c r="AO58" s="979">
        <v>366.53823135339826</v>
      </c>
      <c r="AP58" s="986" t="s">
        <v>536</v>
      </c>
      <c r="AQ58" s="979">
        <v>250879.66088617509</v>
      </c>
      <c r="AR58" s="979"/>
      <c r="AS58" s="979"/>
      <c r="AT58" s="979"/>
      <c r="AU58" s="979">
        <v>137.27674604187055</v>
      </c>
      <c r="AV58" s="978"/>
      <c r="AW58" s="980"/>
      <c r="AX58" s="979">
        <v>46.463410426831828</v>
      </c>
      <c r="AY58" s="979">
        <v>134.98342348862968</v>
      </c>
      <c r="AZ58" s="980">
        <v>2.1328272733947764</v>
      </c>
      <c r="BA58" s="978">
        <v>0.68295153144710041</v>
      </c>
      <c r="BB58" s="979">
        <v>24.802642642815261</v>
      </c>
      <c r="BC58" s="978"/>
      <c r="BD58" s="978"/>
      <c r="BE58" s="978"/>
      <c r="BF58" s="979">
        <v>25.988146344863271</v>
      </c>
      <c r="BG58" s="977" t="s">
        <v>239</v>
      </c>
      <c r="BH58" s="978">
        <v>8.6585935468411809E-3</v>
      </c>
      <c r="BI58" s="978">
        <v>1.7124762343679139E-2</v>
      </c>
      <c r="BJ58" s="978">
        <v>6.40769832791728E-2</v>
      </c>
      <c r="BK58" s="979">
        <v>15.189024274924032</v>
      </c>
      <c r="BL58" s="983"/>
      <c r="BM58" s="984">
        <v>44.334997177124094</v>
      </c>
      <c r="BN58" s="985">
        <v>7.1423791510800401</v>
      </c>
      <c r="BO58" s="983"/>
      <c r="BP58" s="983" t="s">
        <v>535</v>
      </c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</row>
    <row r="59" spans="36:105" ht="17">
      <c r="AJ59" s="474" t="s">
        <v>548</v>
      </c>
      <c r="AK59" s="469">
        <v>0.24216066895490576</v>
      </c>
      <c r="AL59" s="468">
        <v>3.8336715111780384</v>
      </c>
      <c r="AM59" s="469"/>
      <c r="AN59" s="472">
        <v>611700</v>
      </c>
      <c r="AO59" s="471">
        <v>213.34552474300813</v>
      </c>
      <c r="AP59" s="471">
        <v>27292.946928100679</v>
      </c>
      <c r="AQ59" s="471">
        <v>25934.332339023618</v>
      </c>
      <c r="AR59" s="471"/>
      <c r="AS59" s="471"/>
      <c r="AT59" s="471"/>
      <c r="AU59" s="480"/>
      <c r="AV59" s="469"/>
      <c r="AW59" s="480"/>
      <c r="AX59" s="480"/>
      <c r="AY59" s="471">
        <v>371.85455116474816</v>
      </c>
      <c r="AZ59" s="468">
        <v>3.2019747686442535</v>
      </c>
      <c r="BA59" s="480" t="s">
        <v>134</v>
      </c>
      <c r="BB59" s="480" t="s">
        <v>160</v>
      </c>
      <c r="BC59" s="471"/>
      <c r="BD59" s="1536" t="s">
        <v>1430</v>
      </c>
      <c r="BE59" s="1536" t="s">
        <v>1432</v>
      </c>
      <c r="BF59" s="469">
        <v>0.22965708612560615</v>
      </c>
      <c r="BG59" s="480" t="s">
        <v>139</v>
      </c>
      <c r="BH59" s="480" t="s">
        <v>211</v>
      </c>
      <c r="BI59" s="480" t="s">
        <v>279</v>
      </c>
      <c r="BJ59" s="480" t="s">
        <v>79</v>
      </c>
      <c r="BK59" s="469">
        <v>0.43115656245668693</v>
      </c>
      <c r="BL59" s="465"/>
      <c r="BM59" s="467">
        <v>48.831996917724595</v>
      </c>
      <c r="BN59" s="466">
        <v>5.3703488407880844</v>
      </c>
      <c r="BO59" s="465"/>
      <c r="BP59" s="464" t="s">
        <v>547</v>
      </c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</row>
    <row r="60" spans="36:105" ht="17">
      <c r="AJ60" s="474" t="s">
        <v>534</v>
      </c>
      <c r="AK60" s="469">
        <v>0.23679588741772342</v>
      </c>
      <c r="AL60" s="468">
        <v>5.4590882889843293</v>
      </c>
      <c r="AM60" s="473"/>
      <c r="AN60" s="472">
        <v>611700</v>
      </c>
      <c r="AO60" s="471">
        <v>201.66059772232717</v>
      </c>
      <c r="AP60" s="471">
        <v>26064.868142526888</v>
      </c>
      <c r="AQ60" s="471">
        <v>25098.954419971054</v>
      </c>
      <c r="AR60" s="471"/>
      <c r="AS60" s="471"/>
      <c r="AT60" s="471"/>
      <c r="AU60" s="480"/>
      <c r="AV60" s="469"/>
      <c r="AW60" s="480"/>
      <c r="AX60" s="480"/>
      <c r="AY60" s="471">
        <v>368.55862203711041</v>
      </c>
      <c r="AZ60" s="468">
        <v>2.6957242867212843</v>
      </c>
      <c r="BA60" s="469">
        <v>0.29598771281010511</v>
      </c>
      <c r="BB60" s="469">
        <v>8.842199208078709E-2</v>
      </c>
      <c r="BC60" s="471"/>
      <c r="BD60" s="1536" t="s">
        <v>1431</v>
      </c>
      <c r="BE60" s="1536" t="s">
        <v>1433</v>
      </c>
      <c r="BF60" s="469">
        <v>0.18985990835040076</v>
      </c>
      <c r="BG60" s="480" t="s">
        <v>239</v>
      </c>
      <c r="BH60" s="469">
        <v>3.138629766093499E-3</v>
      </c>
      <c r="BI60" s="480" t="s">
        <v>57</v>
      </c>
      <c r="BJ60" s="480" t="s">
        <v>123</v>
      </c>
      <c r="BK60" s="469">
        <v>0.46635947553736651</v>
      </c>
      <c r="BL60" s="465"/>
      <c r="BM60" s="467">
        <v>47.5469970703125</v>
      </c>
      <c r="BN60" s="466">
        <v>5.0265406939545194</v>
      </c>
      <c r="BO60" s="465"/>
      <c r="BP60" s="464" t="s">
        <v>533</v>
      </c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</row>
    <row r="61" spans="36:105" ht="17">
      <c r="AJ61" s="474" t="s">
        <v>527</v>
      </c>
      <c r="AK61" s="469">
        <v>0.37012846163218888</v>
      </c>
      <c r="AL61" s="468">
        <v>4.0434217705297932</v>
      </c>
      <c r="AM61" s="473"/>
      <c r="AN61" s="472">
        <v>611700</v>
      </c>
      <c r="AO61" s="471">
        <v>212.45727318954422</v>
      </c>
      <c r="AP61" s="471">
        <v>27249.273342934019</v>
      </c>
      <c r="AQ61" s="471">
        <v>26604.123817760872</v>
      </c>
      <c r="AR61" s="471"/>
      <c r="AS61" s="471"/>
      <c r="AT61" s="471"/>
      <c r="AU61" s="469"/>
      <c r="AV61" s="469"/>
      <c r="AW61" s="469"/>
      <c r="AX61" s="469"/>
      <c r="AY61" s="471">
        <v>382.21538074250464</v>
      </c>
      <c r="AZ61" s="468">
        <v>4.7618298525000675</v>
      </c>
      <c r="BA61" s="468">
        <v>1.175553902207646</v>
      </c>
      <c r="BB61" s="469">
        <v>0.37941219830349876</v>
      </c>
      <c r="BC61" s="471"/>
      <c r="BD61" s="1536" t="s">
        <v>526</v>
      </c>
      <c r="BE61" s="1536" t="s">
        <v>525</v>
      </c>
      <c r="BF61" s="469">
        <v>0.3441500379980787</v>
      </c>
      <c r="BG61" s="469">
        <v>0.42662946308723743</v>
      </c>
      <c r="BH61" s="469">
        <v>0.33614451225445868</v>
      </c>
      <c r="BI61" s="469">
        <v>0.57820165356176756</v>
      </c>
      <c r="BJ61" s="468">
        <v>1.0018199373812571</v>
      </c>
      <c r="BK61" s="468">
        <v>1.1836249965120313</v>
      </c>
      <c r="BL61" s="465"/>
      <c r="BM61" s="467">
        <v>48.831996917724595</v>
      </c>
      <c r="BN61" s="466">
        <v>4.704615466925933</v>
      </c>
      <c r="BO61" s="465"/>
      <c r="BP61" s="464" t="s">
        <v>524</v>
      </c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</row>
    <row r="62" spans="36:105" ht="17">
      <c r="AJ62" s="481" t="s">
        <v>557</v>
      </c>
      <c r="AK62" s="469">
        <v>0.39709404846971125</v>
      </c>
      <c r="AL62" s="468">
        <v>4.4281226907179345</v>
      </c>
      <c r="AM62" s="469"/>
      <c r="AN62" s="472">
        <v>611700</v>
      </c>
      <c r="AO62" s="471">
        <v>210.06121057024819</v>
      </c>
      <c r="AP62" s="471">
        <v>26422.145758348313</v>
      </c>
      <c r="AQ62" s="471">
        <v>26523.228354682022</v>
      </c>
      <c r="AR62" s="471"/>
      <c r="AS62" s="471"/>
      <c r="AT62" s="471"/>
      <c r="AU62" s="469">
        <v>0.15098774453201205</v>
      </c>
      <c r="AV62" s="469"/>
      <c r="AW62" s="480"/>
      <c r="AX62" s="480" t="s">
        <v>179</v>
      </c>
      <c r="AY62" s="471">
        <v>393.34467399722098</v>
      </c>
      <c r="AZ62" s="468">
        <v>3.5886899549564921</v>
      </c>
      <c r="BA62" s="469">
        <v>0.32335556283038319</v>
      </c>
      <c r="BB62" s="469">
        <v>0.1242184129689409</v>
      </c>
      <c r="BC62" s="471"/>
      <c r="BD62" s="469"/>
      <c r="BE62" s="469"/>
      <c r="BF62" s="469">
        <v>0.3042778920341383</v>
      </c>
      <c r="BG62" s="469">
        <v>9.0614689321699849E-3</v>
      </c>
      <c r="BH62" s="471"/>
      <c r="BI62" s="471"/>
      <c r="BJ62" s="471"/>
      <c r="BK62" s="469">
        <v>0.59974311984809692</v>
      </c>
      <c r="BL62" s="465"/>
      <c r="BM62" s="467">
        <v>47.5469970703125</v>
      </c>
      <c r="BN62" s="466">
        <v>5.7051184855755732</v>
      </c>
      <c r="BO62" s="465"/>
      <c r="BP62" s="465" t="s">
        <v>556</v>
      </c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</row>
    <row r="63" spans="36:105" ht="17">
      <c r="AJ63" s="1003" t="s">
        <v>555</v>
      </c>
      <c r="AK63" s="989" t="s">
        <v>293</v>
      </c>
      <c r="AL63" s="989" t="s">
        <v>554</v>
      </c>
      <c r="AM63" s="990"/>
      <c r="AN63" s="1004">
        <v>454200</v>
      </c>
      <c r="AO63" s="991">
        <v>1386.9196321653085</v>
      </c>
      <c r="AP63" s="991">
        <v>543911.10362055025</v>
      </c>
      <c r="AQ63" s="991">
        <v>525097.56291376706</v>
      </c>
      <c r="AR63" s="991"/>
      <c r="AS63" s="991"/>
      <c r="AT63" s="991"/>
      <c r="AU63" s="991"/>
      <c r="AV63" s="1002"/>
      <c r="AW63" s="991"/>
      <c r="AX63" s="991"/>
      <c r="AY63" s="991">
        <v>244.33964078341208</v>
      </c>
      <c r="AZ63" s="991">
        <v>1500.5858924148197</v>
      </c>
      <c r="BA63" s="991">
        <v>934.60140531421439</v>
      </c>
      <c r="BB63" s="991">
        <v>267.42601552041549</v>
      </c>
      <c r="BC63" s="990"/>
      <c r="BD63" s="992" t="s">
        <v>553</v>
      </c>
      <c r="BE63" s="993">
        <v>5410.4686912143916</v>
      </c>
      <c r="BF63" s="991">
        <v>63.447207144206729</v>
      </c>
      <c r="BG63" s="991">
        <v>968.78709633830817</v>
      </c>
      <c r="BH63" s="991">
        <v>742.43958872802511</v>
      </c>
      <c r="BI63" s="991">
        <v>1167.1065321677936</v>
      </c>
      <c r="BJ63" s="991">
        <v>1629.9338064379972</v>
      </c>
      <c r="BK63" s="991">
        <v>684.59546898446183</v>
      </c>
      <c r="BL63" s="994"/>
      <c r="BM63" s="995">
        <v>46.903999328613196</v>
      </c>
      <c r="BN63" s="996">
        <v>0.75406579673375651</v>
      </c>
      <c r="BO63" s="994"/>
      <c r="BP63" s="1005" t="s">
        <v>552</v>
      </c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</row>
    <row r="64" spans="36:105" ht="17">
      <c r="AJ64" s="1003" t="s">
        <v>542</v>
      </c>
      <c r="AK64" s="989" t="s">
        <v>161</v>
      </c>
      <c r="AL64" s="989" t="s">
        <v>541</v>
      </c>
      <c r="AM64" s="990"/>
      <c r="AN64" s="1004">
        <v>454200</v>
      </c>
      <c r="AO64" s="991">
        <v>1298.9778627732078</v>
      </c>
      <c r="AP64" s="991">
        <v>522471.92902167828</v>
      </c>
      <c r="AQ64" s="991">
        <v>504338.59258975746</v>
      </c>
      <c r="AR64" s="991"/>
      <c r="AS64" s="991"/>
      <c r="AT64" s="991"/>
      <c r="AU64" s="991"/>
      <c r="AV64" s="990"/>
      <c r="AW64" s="1002"/>
      <c r="AX64" s="991"/>
      <c r="AY64" s="991">
        <v>215.80815665023758</v>
      </c>
      <c r="AZ64" s="991">
        <v>402.68458996241964</v>
      </c>
      <c r="BA64" s="991">
        <v>426.82335212969065</v>
      </c>
      <c r="BB64" s="991">
        <v>218.72012131448622</v>
      </c>
      <c r="BC64" s="990"/>
      <c r="BD64" s="992" t="s">
        <v>540</v>
      </c>
      <c r="BE64" s="992" t="s">
        <v>539</v>
      </c>
      <c r="BF64" s="991">
        <v>58.523320235691685</v>
      </c>
      <c r="BG64" s="991">
        <v>202.55146462954215</v>
      </c>
      <c r="BH64" s="991">
        <v>204.98520974907703</v>
      </c>
      <c r="BI64" s="991">
        <v>1046.1784236991296</v>
      </c>
      <c r="BJ64" s="991">
        <v>319.46981643321323</v>
      </c>
      <c r="BK64" s="991">
        <v>563.84995845938283</v>
      </c>
      <c r="BL64" s="994"/>
      <c r="BM64" s="995">
        <v>49.474996566772504</v>
      </c>
      <c r="BN64" s="996">
        <v>0.60092617686612648</v>
      </c>
      <c r="BO64" s="994"/>
      <c r="BP64" s="1005" t="s">
        <v>538</v>
      </c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</row>
    <row r="65" spans="36:105" ht="17">
      <c r="AJ65" s="1003" t="s">
        <v>532</v>
      </c>
      <c r="AK65" s="997" t="s">
        <v>308</v>
      </c>
      <c r="AL65" s="998" t="s">
        <v>531</v>
      </c>
      <c r="AM65" s="999"/>
      <c r="AN65" s="1004">
        <v>454200</v>
      </c>
      <c r="AO65" s="991">
        <v>1578.5770558556726</v>
      </c>
      <c r="AP65" s="991">
        <v>517708.94253714819</v>
      </c>
      <c r="AQ65" s="991">
        <v>498124.36676696624</v>
      </c>
      <c r="AR65" s="991"/>
      <c r="AS65" s="991"/>
      <c r="AT65" s="991"/>
      <c r="AU65" s="991"/>
      <c r="AV65" s="1002"/>
      <c r="AW65" s="1002"/>
      <c r="AX65" s="991"/>
      <c r="AY65" s="991">
        <v>216.43482457554177</v>
      </c>
      <c r="AZ65" s="991">
        <v>538.82625913534559</v>
      </c>
      <c r="BA65" s="991">
        <v>508.31514137343902</v>
      </c>
      <c r="BB65" s="991">
        <v>238.26294963471625</v>
      </c>
      <c r="BC65" s="990"/>
      <c r="BD65" s="992" t="s">
        <v>530</v>
      </c>
      <c r="BE65" s="992" t="s">
        <v>529</v>
      </c>
      <c r="BF65" s="991">
        <v>58.648273047429072</v>
      </c>
      <c r="BG65" s="991">
        <v>141.93499630342933</v>
      </c>
      <c r="BH65" s="991">
        <v>660.34998681205036</v>
      </c>
      <c r="BI65" s="991">
        <v>960.07181621118207</v>
      </c>
      <c r="BJ65" s="991">
        <v>624.53239753207947</v>
      </c>
      <c r="BK65" s="991">
        <v>616.04509340498237</v>
      </c>
      <c r="BL65" s="994"/>
      <c r="BM65" s="995">
        <v>43.6919975280762</v>
      </c>
      <c r="BN65" s="996">
        <v>0.64064590145494871</v>
      </c>
      <c r="BO65" s="994"/>
      <c r="BP65" s="1005" t="s">
        <v>528</v>
      </c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</row>
    <row r="66" spans="36:105" ht="17">
      <c r="AJ66" s="1006" t="s">
        <v>507</v>
      </c>
      <c r="AK66" s="1007" t="s">
        <v>506</v>
      </c>
      <c r="AL66" s="1008" t="s">
        <v>505</v>
      </c>
      <c r="AM66" s="1009"/>
      <c r="AN66" s="1010">
        <v>454200</v>
      </c>
      <c r="AO66" s="1011">
        <v>1221.2544865601999</v>
      </c>
      <c r="AP66" s="1011">
        <v>494716.80775496055</v>
      </c>
      <c r="AQ66" s="1011">
        <v>502293.1407389284</v>
      </c>
      <c r="AR66" s="1011"/>
      <c r="AS66" s="1011"/>
      <c r="AT66" s="1011"/>
      <c r="AU66" s="1011"/>
      <c r="AV66" s="1009"/>
      <c r="AW66" s="1012"/>
      <c r="AX66" s="1011"/>
      <c r="AY66" s="1011">
        <v>231.01306906176052</v>
      </c>
      <c r="AZ66" s="1011">
        <v>448.57697878481844</v>
      </c>
      <c r="BA66" s="1011">
        <v>486.24183570347833</v>
      </c>
      <c r="BB66" s="1011">
        <v>221.98917768191058</v>
      </c>
      <c r="BC66" s="1009"/>
      <c r="BD66" s="1013">
        <v>30072.121321552546</v>
      </c>
      <c r="BE66" s="1014" t="s">
        <v>504</v>
      </c>
      <c r="BF66" s="1011">
        <v>52.74954144974857</v>
      </c>
      <c r="BG66" s="1011">
        <v>13.304060536681876</v>
      </c>
      <c r="BH66" s="1012">
        <v>8.9916287672371453</v>
      </c>
      <c r="BI66" s="1011">
        <v>16.808415808491038</v>
      </c>
      <c r="BJ66" s="1011">
        <v>66.802946434213595</v>
      </c>
      <c r="BK66" s="1011">
        <v>621.72872113450546</v>
      </c>
      <c r="BL66" s="1015"/>
      <c r="BM66" s="1016">
        <v>41.763999938964794</v>
      </c>
      <c r="BN66" s="1017">
        <v>0.21945528278602577</v>
      </c>
      <c r="BO66" s="1015"/>
      <c r="BP66" s="1018" t="s">
        <v>503</v>
      </c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</row>
    <row r="67" spans="36:105" ht="17">
      <c r="AJ67" s="315" t="s">
        <v>502</v>
      </c>
      <c r="AK67" s="452" t="s">
        <v>501</v>
      </c>
      <c r="AL67" s="339">
        <v>33.257116691365631</v>
      </c>
      <c r="AM67" s="338"/>
      <c r="AN67" s="342">
        <v>937000</v>
      </c>
      <c r="AO67" s="339">
        <v>4585.2484899119327</v>
      </c>
      <c r="AP67" s="339">
        <v>54962.02126556584</v>
      </c>
      <c r="AQ67" s="339">
        <v>53705.923302143092</v>
      </c>
      <c r="AR67" s="339"/>
      <c r="AS67" s="453"/>
      <c r="AT67" s="452"/>
      <c r="AU67" s="339"/>
      <c r="AV67" s="338"/>
      <c r="AW67" s="340"/>
      <c r="AX67" s="340"/>
      <c r="AY67" s="340">
        <v>6.3364195762924984</v>
      </c>
      <c r="AZ67" s="339">
        <v>22.344898489077742</v>
      </c>
      <c r="BA67" s="340">
        <v>2.6364919589990197</v>
      </c>
      <c r="BB67" s="340">
        <v>1.7474989432161787</v>
      </c>
      <c r="BC67" s="338"/>
      <c r="BD67" s="454">
        <v>17.228202957081862</v>
      </c>
      <c r="BE67" s="450">
        <v>-0.48378307286821187</v>
      </c>
      <c r="BF67" s="340">
        <v>3.2825884474974192</v>
      </c>
      <c r="BG67" s="340">
        <v>1.2178062640118179</v>
      </c>
      <c r="BH67" s="340">
        <v>9.3438473036725664</v>
      </c>
      <c r="BI67" s="339">
        <v>16.612305020686328</v>
      </c>
      <c r="BJ67" s="339">
        <v>32.461625089510953</v>
      </c>
      <c r="BK67" s="338">
        <v>0.79153595465304805</v>
      </c>
      <c r="BL67" s="336"/>
      <c r="BM67" s="313">
        <v>47.54699897766109</v>
      </c>
      <c r="BN67" s="337">
        <v>0.76582214797765502</v>
      </c>
      <c r="BO67" s="336"/>
      <c r="BP67" s="336" t="s">
        <v>500</v>
      </c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</row>
    <row r="68" spans="36:105" ht="18" thickBot="1">
      <c r="AJ68" s="315" t="s">
        <v>499</v>
      </c>
      <c r="AK68" s="452" t="s">
        <v>55</v>
      </c>
      <c r="AL68" s="339">
        <v>34.696131342357205</v>
      </c>
      <c r="AM68" s="338"/>
      <c r="AN68" s="342">
        <v>937000</v>
      </c>
      <c r="AO68" s="339">
        <v>4671.9784852876664</v>
      </c>
      <c r="AP68" s="339">
        <v>52471.682786152291</v>
      </c>
      <c r="AQ68" s="339">
        <v>54327.445061821592</v>
      </c>
      <c r="AR68" s="339"/>
      <c r="AS68" s="453"/>
      <c r="AT68" s="452"/>
      <c r="AU68" s="339"/>
      <c r="AV68" s="338"/>
      <c r="AW68" s="340"/>
      <c r="AX68" s="340"/>
      <c r="AY68" s="340">
        <v>7.1062306034642351</v>
      </c>
      <c r="AZ68" s="339">
        <v>22.040576706754926</v>
      </c>
      <c r="BA68" s="340">
        <v>2.5822008580880174</v>
      </c>
      <c r="BB68" s="340">
        <v>1.9436619683500655</v>
      </c>
      <c r="BC68" s="338"/>
      <c r="BD68" s="451">
        <v>1.4851587640110266</v>
      </c>
      <c r="BE68" s="450">
        <v>-0.42919380714602023</v>
      </c>
      <c r="BF68" s="340">
        <v>3.3089866550442273</v>
      </c>
      <c r="BG68" s="340">
        <v>1.2630815984348114</v>
      </c>
      <c r="BH68" s="339">
        <v>10.752470048483341</v>
      </c>
      <c r="BI68" s="339">
        <v>16.043335110817846</v>
      </c>
      <c r="BJ68" s="339">
        <v>32.795586312411658</v>
      </c>
      <c r="BK68" s="338">
        <v>0.86963691068253868</v>
      </c>
      <c r="BL68" s="336"/>
      <c r="BM68" s="313">
        <v>48.189996719360394</v>
      </c>
      <c r="BN68" s="337">
        <v>0.72058745646026889</v>
      </c>
      <c r="BO68" s="336"/>
      <c r="BP68" s="336" t="s">
        <v>498</v>
      </c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</row>
    <row r="69" spans="36:105" ht="17">
      <c r="AJ69" s="335" t="s">
        <v>142</v>
      </c>
      <c r="AK69" s="330">
        <v>0.7319852660863696</v>
      </c>
      <c r="AL69" s="332">
        <v>183.06225395015468</v>
      </c>
      <c r="AM69" s="330"/>
      <c r="AN69" s="334">
        <v>830000</v>
      </c>
      <c r="AO69" s="332">
        <v>7658.1420082188924</v>
      </c>
      <c r="AP69" s="332">
        <v>159096.27494377978</v>
      </c>
      <c r="AQ69" s="332">
        <v>158535.66039523066</v>
      </c>
      <c r="AR69" s="333"/>
      <c r="AS69" s="331"/>
      <c r="AT69" s="331"/>
      <c r="AU69" s="331"/>
      <c r="AV69" s="330"/>
      <c r="AW69" s="331"/>
      <c r="AX69" s="331"/>
      <c r="AY69" s="332">
        <v>23.52836611314159</v>
      </c>
      <c r="AZ69" s="332">
        <v>28.53299969155082</v>
      </c>
      <c r="BA69" s="333">
        <v>3.66183212369307</v>
      </c>
      <c r="BB69" s="333">
        <v>6.6383812308436614</v>
      </c>
      <c r="BC69" s="330"/>
      <c r="BD69" s="449">
        <v>1.8205956584777845</v>
      </c>
      <c r="BE69" s="448">
        <v>0.21453080803403435</v>
      </c>
      <c r="BF69" s="333">
        <v>3.111238866571818</v>
      </c>
      <c r="BG69" s="333">
        <v>2.6871377705767117</v>
      </c>
      <c r="BH69" s="332">
        <v>39.80452951410512</v>
      </c>
      <c r="BI69" s="332">
        <v>27.192669673003568</v>
      </c>
      <c r="BJ69" s="332">
        <v>30.944293460839347</v>
      </c>
      <c r="BK69" s="331" t="s">
        <v>126</v>
      </c>
      <c r="BL69" s="327"/>
      <c r="BM69" s="329">
        <v>44.976999282836893</v>
      </c>
      <c r="BN69" s="328">
        <v>0.92403487778820592</v>
      </c>
      <c r="BO69" s="327"/>
      <c r="BP69" s="326" t="s">
        <v>497</v>
      </c>
    </row>
    <row r="70" spans="36:105" ht="18" thickBot="1">
      <c r="AJ70" s="325" t="s">
        <v>143</v>
      </c>
      <c r="AK70" s="320">
        <v>0.66801516831569008</v>
      </c>
      <c r="AL70" s="321">
        <v>200.93063608905345</v>
      </c>
      <c r="AM70" s="320"/>
      <c r="AN70" s="324">
        <v>830000</v>
      </c>
      <c r="AO70" s="321">
        <v>8121.770643563249</v>
      </c>
      <c r="AP70" s="321">
        <v>160902.43400644005</v>
      </c>
      <c r="AQ70" s="321">
        <v>161464.22631701277</v>
      </c>
      <c r="AR70" s="322"/>
      <c r="AS70" s="323"/>
      <c r="AT70" s="323"/>
      <c r="AU70" s="323"/>
      <c r="AV70" s="320"/>
      <c r="AW70" s="323"/>
      <c r="AX70" s="323"/>
      <c r="AY70" s="321">
        <v>25.672283181190853</v>
      </c>
      <c r="AZ70" s="321">
        <v>29.766278244367129</v>
      </c>
      <c r="BA70" s="322">
        <v>3.4980302533347567</v>
      </c>
      <c r="BB70" s="322">
        <v>5.7562430321980802</v>
      </c>
      <c r="BC70" s="320"/>
      <c r="BD70" s="447">
        <v>-0.40267918586377194</v>
      </c>
      <c r="BE70" s="447">
        <v>0.16740123148172789</v>
      </c>
      <c r="BF70" s="322">
        <v>3.0887288191785349</v>
      </c>
      <c r="BG70" s="322">
        <v>2.7726690941875782</v>
      </c>
      <c r="BH70" s="321">
        <v>38.636341951090444</v>
      </c>
      <c r="BI70" s="321">
        <v>28.006662758731661</v>
      </c>
      <c r="BJ70" s="321">
        <v>30.656339200163483</v>
      </c>
      <c r="BK70" s="323" t="s">
        <v>160</v>
      </c>
      <c r="BL70" s="317"/>
      <c r="BM70" s="319">
        <v>49.474996566772504</v>
      </c>
      <c r="BN70" s="318">
        <v>0.82472923991376479</v>
      </c>
      <c r="BO70" s="317"/>
      <c r="BP70" s="316" t="s">
        <v>496</v>
      </c>
    </row>
    <row r="71" spans="36:105" ht="17">
      <c r="AJ71" s="309"/>
      <c r="AK71" s="307"/>
      <c r="AL71" s="307"/>
      <c r="AM71" s="307"/>
      <c r="AN71" s="370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36:105" ht="18" thickBot="1">
      <c r="AJ72" s="309" t="s">
        <v>145</v>
      </c>
      <c r="AK72" s="311">
        <v>10</v>
      </c>
      <c r="AL72" s="311">
        <v>23</v>
      </c>
      <c r="AM72" s="311">
        <v>10</v>
      </c>
      <c r="AN72" s="446">
        <v>937000</v>
      </c>
      <c r="AO72" s="311">
        <v>4600</v>
      </c>
      <c r="AP72" s="311">
        <v>55000</v>
      </c>
      <c r="AQ72" s="311">
        <v>55000</v>
      </c>
      <c r="AR72" s="311">
        <v>145</v>
      </c>
      <c r="AS72" s="308">
        <v>0.34</v>
      </c>
      <c r="AT72" s="308">
        <v>0.34</v>
      </c>
      <c r="AU72" s="311">
        <v>58</v>
      </c>
      <c r="AV72" s="311">
        <v>177</v>
      </c>
      <c r="AW72" s="311">
        <v>177</v>
      </c>
      <c r="AX72" s="308">
        <v>4.3</v>
      </c>
      <c r="AY72" s="308">
        <v>6.4</v>
      </c>
      <c r="AZ72" s="311">
        <v>20</v>
      </c>
      <c r="BA72" s="308">
        <v>2.1</v>
      </c>
      <c r="BB72" s="308">
        <v>1.43</v>
      </c>
      <c r="BC72" s="308">
        <v>1</v>
      </c>
      <c r="BD72" s="308" t="s">
        <v>94</v>
      </c>
      <c r="BE72" s="308" t="s">
        <v>94</v>
      </c>
      <c r="BF72" s="308">
        <v>2.85</v>
      </c>
      <c r="BG72" s="308">
        <v>1.1399999999999999</v>
      </c>
      <c r="BH72" s="308">
        <v>9.44</v>
      </c>
      <c r="BI72" s="308">
        <v>15.1</v>
      </c>
      <c r="BJ72" s="308">
        <v>30.1</v>
      </c>
      <c r="BK72" s="308">
        <v>0.66</v>
      </c>
      <c r="BL72" s="307"/>
      <c r="BM72" s="307"/>
      <c r="BN72" s="307"/>
      <c r="BO72" s="307"/>
      <c r="BP72" s="307"/>
    </row>
    <row r="73" spans="36:105" ht="17">
      <c r="AJ73" s="309"/>
      <c r="AK73" s="308" t="s">
        <v>94</v>
      </c>
      <c r="AL73" s="308" t="s">
        <v>94</v>
      </c>
      <c r="AM73" s="308" t="s">
        <v>94</v>
      </c>
      <c r="AN73" s="308" t="s">
        <v>94</v>
      </c>
      <c r="AO73" s="308" t="s">
        <v>94</v>
      </c>
      <c r="AP73" s="308" t="s">
        <v>94</v>
      </c>
      <c r="AQ73" s="308" t="s">
        <v>94</v>
      </c>
      <c r="AR73" s="308" t="s">
        <v>94</v>
      </c>
      <c r="AS73" s="308" t="s">
        <v>94</v>
      </c>
      <c r="AT73" s="308" t="s">
        <v>94</v>
      </c>
      <c r="AU73" s="308" t="s">
        <v>94</v>
      </c>
      <c r="AV73" s="308" t="s">
        <v>94</v>
      </c>
      <c r="AW73" s="308" t="s">
        <v>94</v>
      </c>
      <c r="AX73" s="308" t="s">
        <v>94</v>
      </c>
      <c r="AY73" s="308" t="s">
        <v>94</v>
      </c>
      <c r="AZ73" s="308" t="s">
        <v>94</v>
      </c>
      <c r="BA73" s="308" t="s">
        <v>94</v>
      </c>
      <c r="BB73" s="308" t="s">
        <v>94</v>
      </c>
      <c r="BC73" s="308" t="s">
        <v>94</v>
      </c>
      <c r="BD73" s="308" t="s">
        <v>94</v>
      </c>
      <c r="BE73" s="308" t="s">
        <v>94</v>
      </c>
      <c r="BF73" s="308" t="s">
        <v>94</v>
      </c>
      <c r="BG73" s="308" t="s">
        <v>94</v>
      </c>
      <c r="BH73" s="308" t="s">
        <v>94</v>
      </c>
      <c r="BI73" s="308" t="s">
        <v>94</v>
      </c>
      <c r="BJ73" s="308" t="s">
        <v>94</v>
      </c>
      <c r="BK73" s="308" t="s">
        <v>94</v>
      </c>
      <c r="BL73" s="307"/>
      <c r="BM73" s="307"/>
      <c r="BN73" s="307"/>
      <c r="BO73" s="307"/>
      <c r="BP73" s="3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BR60"/>
  <sheetViews>
    <sheetView zoomScale="104" zoomScaleNormal="90" workbookViewId="0">
      <selection activeCell="F13" sqref="F13"/>
    </sheetView>
  </sheetViews>
  <sheetFormatPr baseColWidth="10" defaultColWidth="11.6640625" defaultRowHeight="16"/>
  <cols>
    <col min="1" max="25" width="11.6640625" style="306"/>
    <col min="26" max="26" width="12.6640625" style="306" customWidth="1"/>
    <col min="27" max="27" width="11.6640625" style="306"/>
    <col min="28" max="28" width="14" style="306" customWidth="1"/>
    <col min="29" max="29" width="13.33203125" style="306" customWidth="1"/>
    <col min="30" max="30" width="11.6640625" style="306"/>
    <col min="31" max="34" width="13.33203125" style="306" customWidth="1"/>
    <col min="35" max="35" width="11.6640625" style="306"/>
    <col min="36" max="36" width="20.5" style="306" customWidth="1"/>
    <col min="37" max="38" width="11.83203125" style="306" customWidth="1"/>
    <col min="39" max="69" width="11.6640625" style="306"/>
    <col min="70" max="70" width="52.1640625" style="306" customWidth="1"/>
    <col min="71" max="16384" width="11.6640625" style="306"/>
  </cols>
  <sheetData>
    <row r="1" spans="1:70" ht="17">
      <c r="A1" s="445" t="s">
        <v>495</v>
      </c>
      <c r="B1" s="445" t="s">
        <v>494</v>
      </c>
      <c r="C1" s="306" t="s">
        <v>493</v>
      </c>
      <c r="D1" s="306" t="s">
        <v>492</v>
      </c>
      <c r="E1" s="1442" t="s">
        <v>1421</v>
      </c>
      <c r="F1" s="306" t="s">
        <v>491</v>
      </c>
      <c r="G1" s="306" t="s">
        <v>490</v>
      </c>
      <c r="H1" s="1442" t="s">
        <v>1422</v>
      </c>
      <c r="I1" s="306" t="s">
        <v>489</v>
      </c>
      <c r="J1" s="306" t="s">
        <v>488</v>
      </c>
      <c r="K1" s="1445" t="s">
        <v>1423</v>
      </c>
      <c r="L1" s="874" t="s">
        <v>1393</v>
      </c>
      <c r="M1" s="875" t="s">
        <v>1392</v>
      </c>
      <c r="N1" s="845" t="s">
        <v>1353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52" t="s">
        <v>935</v>
      </c>
      <c r="X1" s="306" t="s">
        <v>481</v>
      </c>
      <c r="Y1" s="306" t="s">
        <v>480</v>
      </c>
      <c r="Z1" s="1375" t="s">
        <v>1412</v>
      </c>
      <c r="AA1" s="844" t="s">
        <v>479</v>
      </c>
      <c r="AB1" s="843" t="s">
        <v>478</v>
      </c>
      <c r="AC1" s="843" t="s">
        <v>1353</v>
      </c>
      <c r="AD1" s="1485" t="s">
        <v>1428</v>
      </c>
      <c r="AE1" s="1483" t="s">
        <v>1425</v>
      </c>
      <c r="AF1" s="1485" t="s">
        <v>1426</v>
      </c>
      <c r="AG1" s="866" t="s">
        <v>1353</v>
      </c>
      <c r="AH1" s="1488"/>
      <c r="AJ1" s="1055" t="s">
        <v>271</v>
      </c>
      <c r="AK1" s="381" t="s">
        <v>0</v>
      </c>
      <c r="AL1" s="307"/>
      <c r="AM1" s="307"/>
      <c r="AN1" s="373"/>
      <c r="AO1" s="373"/>
      <c r="AP1" s="307"/>
      <c r="AQ1" s="307"/>
      <c r="AR1" s="307"/>
      <c r="AS1" s="307"/>
      <c r="AT1" s="307"/>
      <c r="AU1" s="307"/>
      <c r="AV1" s="307"/>
      <c r="AW1" s="373"/>
      <c r="AX1" s="373"/>
      <c r="AY1" s="373"/>
      <c r="AZ1" s="373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</row>
    <row r="2" spans="1:70" ht="18" thickBot="1">
      <c r="L2" s="846"/>
      <c r="N2" s="847"/>
      <c r="W2" s="853"/>
      <c r="AA2" s="846"/>
      <c r="AE2" s="846"/>
      <c r="AG2" s="847"/>
      <c r="AJ2" s="380"/>
      <c r="AK2" s="307" t="s">
        <v>692</v>
      </c>
      <c r="AL2" s="307"/>
      <c r="AM2" s="307"/>
      <c r="AN2" s="307"/>
      <c r="AO2" s="373"/>
      <c r="AP2" s="307"/>
      <c r="AQ2" s="307"/>
      <c r="AR2" s="307"/>
      <c r="AS2" s="307"/>
      <c r="AT2" s="379"/>
      <c r="AU2" s="378">
        <v>43685.488171296296</v>
      </c>
      <c r="AV2" s="307"/>
      <c r="AW2" s="379"/>
      <c r="AX2" s="378"/>
      <c r="AY2" s="373"/>
      <c r="AZ2" s="373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</row>
    <row r="3" spans="1:70" ht="17">
      <c r="A3" s="435" t="s">
        <v>391</v>
      </c>
      <c r="B3" s="435" t="s">
        <v>3</v>
      </c>
      <c r="C3" s="406" t="e">
        <f>AVERAGE(AK$48,AK$49,AK$50)</f>
        <v>#DIV/0!</v>
      </c>
      <c r="D3" s="406" t="e">
        <f>STDEV(AK$48,AK$49,AK$50)</f>
        <v>#DIV/0!</v>
      </c>
      <c r="E3" s="406" t="e" cm="1">
        <f t="array" ref="E3:E29">2*D3:D29</f>
        <v>#DIV/0!</v>
      </c>
      <c r="F3" s="433">
        <f>AVERAGE($AK$51,$AK$52,$AK$53)</f>
        <v>1.3419922734588867</v>
      </c>
      <c r="G3" s="433">
        <f>STDEV($AK$51,$AK$52,$AK$53)</f>
        <v>0.48824525304156557</v>
      </c>
      <c r="H3" s="433" cm="1">
        <f t="array" ref="H3:H29">2*G3:G29</f>
        <v>0.97649050608313115</v>
      </c>
      <c r="I3" s="433">
        <f>AVERAGE($AK$45:$AK$47)</f>
        <v>0.53768067059951363</v>
      </c>
      <c r="J3" s="433">
        <f>STDEV($AK$45:$AK$47)</f>
        <v>8.3680594300524297E-2</v>
      </c>
      <c r="K3" s="433" cm="1">
        <f t="array" ref="K3:K29">2*J3:J29</f>
        <v>0.16736118860104859</v>
      </c>
      <c r="L3" s="848" t="e" cm="1">
        <f t="array" ref="L3:L29">C3:C29/I3:I29</f>
        <v>#DIV/0!</v>
      </c>
      <c r="M3" s="406" t="e" cm="1">
        <f t="array" ref="M3:M29">L3:L29*SQRT((D3:D29/C3:C29)^2 + (J3:J29/I3:I29)^2)</f>
        <v>#DIV/0!</v>
      </c>
      <c r="N3" s="849" t="e" cm="1">
        <f t="array" ref="N3:N29">2*(M3:M29)</f>
        <v>#DIV/0!</v>
      </c>
      <c r="O3" s="433">
        <v>0.56999999999999995</v>
      </c>
      <c r="P3" s="433">
        <v>3</v>
      </c>
      <c r="Q3" s="778">
        <v>0.43075927899999999</v>
      </c>
      <c r="R3" s="570">
        <f t="shared" ref="R3:R29" si="0">(1-(2*Q3))/(1-Q3)</f>
        <v>0.24327395579979952</v>
      </c>
      <c r="S3" s="570">
        <f>O3*(((1-(2*C47))/(1-C47))^P3)</f>
        <v>3.9428182030971093E-3</v>
      </c>
      <c r="T3" s="570">
        <f>O3*(((1-(2*C46))/(1-C46))^P3)</f>
        <v>1.4237439257246595E-2</v>
      </c>
      <c r="U3" s="570" cm="1">
        <f t="array" ref="U3:U29">W3:W29-S3:S29</f>
        <v>4.2637523402870685E-3</v>
      </c>
      <c r="V3" s="570" cm="1">
        <f t="array" ref="V3:V29">T3:T29-W3:W29</f>
        <v>6.0308687138624171E-3</v>
      </c>
      <c r="W3" s="854">
        <f t="shared" ref="W3:W28" si="1">O3*((R3)^P3)</f>
        <v>8.2065705433841778E-3</v>
      </c>
      <c r="X3" s="433" t="e">
        <f t="shared" ref="X3:X29" si="2">L3/W3</f>
        <v>#DIV/0!</v>
      </c>
      <c r="Y3" s="433" t="e">
        <f t="shared" ref="Y3:Y4" si="3">X3*(M3/L3)</f>
        <v>#DIV/0!</v>
      </c>
      <c r="Z3" s="433"/>
      <c r="AA3" s="857" t="e" cm="1">
        <f t="array" ref="AA3:AA29">C3:C29/F3:F29</f>
        <v>#DIV/0!</v>
      </c>
      <c r="AB3" s="406" t="e" cm="1">
        <f t="array" ref="AB3:AB29">AA3:AA29*SQRT((D3:D29/C3:C29)^2 + (G3:G29/F3:F29)^2)</f>
        <v>#DIV/0!</v>
      </c>
      <c r="AC3" s="813" t="e" cm="1">
        <f t="array" ref="AC3:AC29">2*AB3:AB29</f>
        <v>#DIV/0!</v>
      </c>
      <c r="AD3" s="433"/>
      <c r="AE3" s="867" cm="1">
        <f t="array" ref="AE3:AE29">F3:F29/I3:I29</f>
        <v>2.4958908639259176</v>
      </c>
      <c r="AF3" s="813" cm="1">
        <f t="array" ref="AF3:AF29">AE3:AE29*SQRT((J3:J29/I3:I29)^2 + (G3:G29/F3:F29)^2)</f>
        <v>0.98765196411932699</v>
      </c>
      <c r="AG3" s="858" cm="1">
        <f t="array" ref="AG3:AG29">2*AF3:AF29</f>
        <v>1.975303928238654</v>
      </c>
      <c r="AH3" s="435" t="s">
        <v>3</v>
      </c>
      <c r="AJ3" s="309" t="s">
        <v>2</v>
      </c>
      <c r="AK3" s="375" t="s">
        <v>3</v>
      </c>
      <c r="AL3" s="375" t="s">
        <v>4</v>
      </c>
      <c r="AM3" s="375" t="s">
        <v>5</v>
      </c>
      <c r="AN3" s="377" t="s">
        <v>6</v>
      </c>
      <c r="AO3" s="375" t="s">
        <v>7</v>
      </c>
      <c r="AP3" s="375" t="s">
        <v>8</v>
      </c>
      <c r="AQ3" s="375" t="s">
        <v>8</v>
      </c>
      <c r="AR3" s="375" t="s">
        <v>9</v>
      </c>
      <c r="AS3" s="375" t="s">
        <v>10</v>
      </c>
      <c r="AT3" s="375" t="s">
        <v>10</v>
      </c>
      <c r="AU3" s="375" t="s">
        <v>11</v>
      </c>
      <c r="AV3" s="375" t="s">
        <v>12</v>
      </c>
      <c r="AW3" s="375" t="s">
        <v>12</v>
      </c>
      <c r="AX3" s="375" t="s">
        <v>13</v>
      </c>
      <c r="AY3" s="375" t="s">
        <v>14</v>
      </c>
      <c r="AZ3" s="375" t="s">
        <v>15</v>
      </c>
      <c r="BA3" s="375" t="s">
        <v>16</v>
      </c>
      <c r="BB3" s="375" t="s">
        <v>17</v>
      </c>
      <c r="BC3" s="375" t="s">
        <v>18</v>
      </c>
      <c r="BD3" s="375" t="s">
        <v>19</v>
      </c>
      <c r="BE3" s="375" t="s">
        <v>20</v>
      </c>
      <c r="BF3" s="375" t="s">
        <v>21</v>
      </c>
      <c r="BG3" s="375" t="s">
        <v>22</v>
      </c>
      <c r="BH3" s="375" t="s">
        <v>23</v>
      </c>
      <c r="BI3" s="375" t="s">
        <v>24</v>
      </c>
      <c r="BJ3" s="375" t="s">
        <v>25</v>
      </c>
      <c r="BK3" s="375" t="s">
        <v>26</v>
      </c>
      <c r="BL3" s="375" t="s">
        <v>27</v>
      </c>
      <c r="BM3" s="375" t="s">
        <v>28</v>
      </c>
      <c r="BN3" s="307"/>
      <c r="BO3" s="375" t="s">
        <v>29</v>
      </c>
      <c r="BP3" s="375" t="s">
        <v>30</v>
      </c>
      <c r="BQ3" s="375"/>
      <c r="BR3" s="375" t="s">
        <v>31</v>
      </c>
    </row>
    <row r="4" spans="1:70" ht="17">
      <c r="A4" s="407" t="s">
        <v>476</v>
      </c>
      <c r="B4" s="407" t="s">
        <v>4</v>
      </c>
      <c r="C4" s="406" t="e">
        <f>AVERAGE(AL$17,AL$18,AL$19)</f>
        <v>#DIV/0!</v>
      </c>
      <c r="D4" s="406" t="e">
        <f>STDEV(AL$17,AL$18,AL$19)</f>
        <v>#DIV/0!</v>
      </c>
      <c r="E4" s="406" t="e">
        <v>#DIV/0!</v>
      </c>
      <c r="F4" s="404">
        <f>AVERAGE($AL$20,$AL$21,$AL$22)</f>
        <v>7.17030368937733</v>
      </c>
      <c r="G4" s="404">
        <f>STDEV($AL$20,$AL$21,$AL$22)</f>
        <v>3.4606115814499128</v>
      </c>
      <c r="H4" s="404">
        <v>6.9212231628998255</v>
      </c>
      <c r="I4" s="406" t="e">
        <f>AVERAGE($AL$14:$AL$16)</f>
        <v>#DIV/0!</v>
      </c>
      <c r="J4" s="406" t="e">
        <f>STDEV($AL$14:$AL$16)</f>
        <v>#DIV/0!</v>
      </c>
      <c r="K4" s="406" t="e">
        <v>#DIV/0!</v>
      </c>
      <c r="L4" s="848" t="e">
        <v>#DIV/0!</v>
      </c>
      <c r="M4" s="406" t="e">
        <v>#DIV/0!</v>
      </c>
      <c r="N4" s="849" t="e">
        <v>#DIV/0!</v>
      </c>
      <c r="O4" s="404">
        <v>0.81</v>
      </c>
      <c r="P4" s="404">
        <v>1.66</v>
      </c>
      <c r="Q4" s="779">
        <v>0.43075927899999999</v>
      </c>
      <c r="R4" s="790">
        <f t="shared" si="0"/>
        <v>0.24327395579979952</v>
      </c>
      <c r="S4" s="790">
        <f>O4*(((1-(2*C47))/(1-C47))^P4)</f>
        <v>5.1671055768928387E-2</v>
      </c>
      <c r="T4" s="790">
        <f>O4*(((1-(2*C46))/(1-C46))^P4)</f>
        <v>0.10514773162758448</v>
      </c>
      <c r="U4" s="790">
        <v>2.5847155584504247E-2</v>
      </c>
      <c r="V4" s="790">
        <v>2.7629520274151845E-2</v>
      </c>
      <c r="W4" s="855">
        <f t="shared" si="1"/>
        <v>7.7518211353432634E-2</v>
      </c>
      <c r="X4" s="404" t="e">
        <f t="shared" si="2"/>
        <v>#DIV/0!</v>
      </c>
      <c r="Y4" s="404" t="e">
        <f t="shared" si="3"/>
        <v>#DIV/0!</v>
      </c>
      <c r="Z4" s="860">
        <f>AL39/F4</f>
        <v>2.92320623447502E-2</v>
      </c>
      <c r="AA4" s="857" t="e">
        <v>#DIV/0!</v>
      </c>
      <c r="AB4" s="406" t="e">
        <v>#DIV/0!</v>
      </c>
      <c r="AC4" s="813" t="e">
        <v>#DIV/0!</v>
      </c>
      <c r="AD4" s="404"/>
      <c r="AE4" s="867" t="e">
        <v>#DIV/0!</v>
      </c>
      <c r="AF4" s="813" t="e">
        <v>#DIV/0!</v>
      </c>
      <c r="AG4" s="858" t="e">
        <v>#DIV/0!</v>
      </c>
      <c r="AH4" s="407" t="s">
        <v>4</v>
      </c>
      <c r="AJ4" s="309" t="s">
        <v>32</v>
      </c>
      <c r="AK4" s="307">
        <v>51</v>
      </c>
      <c r="AL4" s="307">
        <v>53</v>
      </c>
      <c r="AM4" s="307">
        <v>55</v>
      </c>
      <c r="AN4" s="370">
        <v>57</v>
      </c>
      <c r="AO4" s="307">
        <v>59</v>
      </c>
      <c r="AP4" s="307">
        <v>61</v>
      </c>
      <c r="AQ4" s="307">
        <v>62</v>
      </c>
      <c r="AR4" s="307">
        <v>63</v>
      </c>
      <c r="AS4" s="307">
        <v>66</v>
      </c>
      <c r="AT4" s="307">
        <v>67</v>
      </c>
      <c r="AU4" s="307">
        <v>69</v>
      </c>
      <c r="AV4" s="307">
        <v>72</v>
      </c>
      <c r="AW4" s="307">
        <v>73</v>
      </c>
      <c r="AX4" s="307">
        <v>75</v>
      </c>
      <c r="AY4" s="307">
        <v>95</v>
      </c>
      <c r="AZ4" s="307">
        <v>101</v>
      </c>
      <c r="BA4" s="307">
        <v>103</v>
      </c>
      <c r="BB4" s="307">
        <v>105</v>
      </c>
      <c r="BC4" s="307">
        <v>107</v>
      </c>
      <c r="BD4" s="307">
        <v>118</v>
      </c>
      <c r="BE4" s="307">
        <v>121</v>
      </c>
      <c r="BF4" s="307">
        <v>184</v>
      </c>
      <c r="BG4" s="307">
        <v>185</v>
      </c>
      <c r="BH4" s="307">
        <v>189</v>
      </c>
      <c r="BI4" s="307">
        <v>193</v>
      </c>
      <c r="BJ4" s="307">
        <v>195</v>
      </c>
      <c r="BK4" s="307">
        <v>197</v>
      </c>
      <c r="BL4" s="307">
        <v>208</v>
      </c>
      <c r="BM4" s="307">
        <v>209</v>
      </c>
      <c r="BN4" s="307"/>
      <c r="BO4" s="375" t="s">
        <v>33</v>
      </c>
      <c r="BP4" s="375" t="s">
        <v>34</v>
      </c>
      <c r="BQ4" s="307"/>
      <c r="BR4" s="307"/>
    </row>
    <row r="5" spans="1:70" ht="17">
      <c r="A5" s="407" t="s">
        <v>476</v>
      </c>
      <c r="B5" s="407" t="s">
        <v>5</v>
      </c>
      <c r="C5" s="404">
        <f>AVERAGE(AM$17,AM$18,AM$19)</f>
        <v>56.816575468583835</v>
      </c>
      <c r="D5" s="404">
        <f>STDEV(AM$17,AM$18,AM$19)</f>
        <v>23.613389904876964</v>
      </c>
      <c r="E5" s="404">
        <v>47.226779809753928</v>
      </c>
      <c r="F5" s="406" t="e">
        <f>AVERAGE($AM$20,$AM$21,$AM$22)</f>
        <v>#DIV/0!</v>
      </c>
      <c r="G5" s="406" t="e">
        <f>STDEV($AM$20,$AM$21,$AM$22)</f>
        <v>#DIV/0!</v>
      </c>
      <c r="H5" s="406" t="e">
        <v>#DIV/0!</v>
      </c>
      <c r="I5" s="406" t="e">
        <f>AVERAGE($AM$14:$AM$16)</f>
        <v>#DIV/0!</v>
      </c>
      <c r="J5" s="406" t="e">
        <f>STDEV($AM$14:$AM$16)</f>
        <v>#DIV/0!</v>
      </c>
      <c r="K5" s="406" t="e">
        <v>#DIV/0!</v>
      </c>
      <c r="L5" s="848" t="e">
        <v>#DIV/0!</v>
      </c>
      <c r="M5" s="406" t="e">
        <v>#DIV/0!</v>
      </c>
      <c r="N5" s="849" t="e">
        <v>#DIV/0!</v>
      </c>
      <c r="O5" s="404"/>
      <c r="P5" s="404"/>
      <c r="Q5" s="779">
        <v>0.43075927899999999</v>
      </c>
      <c r="R5" s="790">
        <f t="shared" si="0"/>
        <v>0.24327395579979952</v>
      </c>
      <c r="S5" s="790"/>
      <c r="T5" s="790"/>
      <c r="U5" s="790">
        <v>0</v>
      </c>
      <c r="V5" s="790">
        <v>0</v>
      </c>
      <c r="W5" s="855">
        <f t="shared" si="1"/>
        <v>0</v>
      </c>
      <c r="X5" s="404" t="e">
        <f t="shared" si="2"/>
        <v>#DIV/0!</v>
      </c>
      <c r="Y5" s="404" t="e">
        <f t="shared" ref="Y5:Y29" si="4">X5*(M5/L5)</f>
        <v>#DIV/0!</v>
      </c>
      <c r="Z5" s="404"/>
      <c r="AA5" s="857" t="e">
        <v>#DIV/0!</v>
      </c>
      <c r="AB5" s="406" t="e">
        <v>#DIV/0!</v>
      </c>
      <c r="AC5" s="813" t="e">
        <v>#DIV/0!</v>
      </c>
      <c r="AD5" s="404"/>
      <c r="AE5" s="867" t="e">
        <v>#DIV/0!</v>
      </c>
      <c r="AF5" s="813" t="e">
        <v>#DIV/0!</v>
      </c>
      <c r="AG5" s="858" t="e">
        <v>#DIV/0!</v>
      </c>
      <c r="AH5" s="407" t="s">
        <v>5</v>
      </c>
      <c r="AJ5" s="309"/>
      <c r="AK5" s="375" t="s">
        <v>35</v>
      </c>
      <c r="AL5" s="375" t="s">
        <v>35</v>
      </c>
      <c r="AM5" s="375" t="s">
        <v>35</v>
      </c>
      <c r="AN5" s="376" t="s">
        <v>35</v>
      </c>
      <c r="AO5" s="375" t="s">
        <v>35</v>
      </c>
      <c r="AP5" s="375" t="s">
        <v>35</v>
      </c>
      <c r="AQ5" s="375" t="s">
        <v>35</v>
      </c>
      <c r="AR5" s="375" t="s">
        <v>35</v>
      </c>
      <c r="AS5" s="375" t="s">
        <v>35</v>
      </c>
      <c r="AT5" s="375" t="s">
        <v>35</v>
      </c>
      <c r="AU5" s="375" t="s">
        <v>35</v>
      </c>
      <c r="AV5" s="375" t="s">
        <v>35</v>
      </c>
      <c r="AW5" s="375" t="s">
        <v>35</v>
      </c>
      <c r="AX5" s="375" t="s">
        <v>35</v>
      </c>
      <c r="AY5" s="375" t="s">
        <v>35</v>
      </c>
      <c r="AZ5" s="375" t="s">
        <v>35</v>
      </c>
      <c r="BA5" s="375" t="s">
        <v>35</v>
      </c>
      <c r="BB5" s="375" t="s">
        <v>35</v>
      </c>
      <c r="BC5" s="375" t="s">
        <v>35</v>
      </c>
      <c r="BD5" s="375" t="s">
        <v>35</v>
      </c>
      <c r="BE5" s="375" t="s">
        <v>35</v>
      </c>
      <c r="BF5" s="375" t="s">
        <v>35</v>
      </c>
      <c r="BG5" s="375" t="s">
        <v>35</v>
      </c>
      <c r="BH5" s="375" t="s">
        <v>35</v>
      </c>
      <c r="BI5" s="375" t="s">
        <v>35</v>
      </c>
      <c r="BJ5" s="375" t="s">
        <v>35</v>
      </c>
      <c r="BK5" s="375" t="s">
        <v>35</v>
      </c>
      <c r="BL5" s="375" t="s">
        <v>35</v>
      </c>
      <c r="BM5" s="375" t="s">
        <v>35</v>
      </c>
      <c r="BN5" s="307"/>
      <c r="BO5" s="307"/>
      <c r="BP5" s="307"/>
      <c r="BQ5" s="307"/>
      <c r="BR5" s="307"/>
    </row>
    <row r="6" spans="1:70" ht="17">
      <c r="A6" s="407" t="s">
        <v>476</v>
      </c>
      <c r="B6" s="407" t="s">
        <v>6</v>
      </c>
      <c r="C6" s="404">
        <f>AVERAGE(AN$17,AN$18,AN$19)</f>
        <v>551500</v>
      </c>
      <c r="D6" s="404">
        <f>STDEV(AN$17,AN$18,AN$19)</f>
        <v>0</v>
      </c>
      <c r="E6" s="404">
        <v>0</v>
      </c>
      <c r="F6" s="404">
        <f>AVERAGE($AN$20,$AN$21,$AN$22)</f>
        <v>621500</v>
      </c>
      <c r="G6" s="404">
        <f>STDEV($AN$20,$AN$21,$AN$22)</f>
        <v>0</v>
      </c>
      <c r="H6" s="404">
        <v>0</v>
      </c>
      <c r="I6" s="404">
        <f>AVERAGE($AN$14:$AN$16)</f>
        <v>489800</v>
      </c>
      <c r="J6" s="404">
        <f>STDEV($AN$14:$AN$16)</f>
        <v>0</v>
      </c>
      <c r="K6" s="404">
        <v>0</v>
      </c>
      <c r="L6" s="1322">
        <v>1.1259697835851368</v>
      </c>
      <c r="M6" s="790">
        <v>0</v>
      </c>
      <c r="N6" s="876">
        <v>0</v>
      </c>
      <c r="O6" s="404"/>
      <c r="P6" s="404"/>
      <c r="Q6" s="779">
        <v>0.43075927899999999</v>
      </c>
      <c r="R6" s="790">
        <f t="shared" si="0"/>
        <v>0.24327395579979952</v>
      </c>
      <c r="S6" s="790"/>
      <c r="T6" s="790"/>
      <c r="U6" s="790">
        <v>0</v>
      </c>
      <c r="V6" s="790">
        <v>0</v>
      </c>
      <c r="W6" s="855">
        <f t="shared" si="1"/>
        <v>0</v>
      </c>
      <c r="X6" s="404" t="e">
        <f t="shared" si="2"/>
        <v>#DIV/0!</v>
      </c>
      <c r="Y6" s="404" t="e">
        <f t="shared" si="4"/>
        <v>#DIV/0!</v>
      </c>
      <c r="Z6" s="404"/>
      <c r="AA6" s="859">
        <v>0.8873692679002414</v>
      </c>
      <c r="AB6" s="860">
        <v>0</v>
      </c>
      <c r="AC6" s="749">
        <v>0</v>
      </c>
      <c r="AD6" s="404"/>
      <c r="AE6" s="868">
        <v>1.2688852592895059</v>
      </c>
      <c r="AF6" s="571">
        <v>0</v>
      </c>
      <c r="AG6" s="862">
        <v>0</v>
      </c>
      <c r="AH6" s="407" t="s">
        <v>6</v>
      </c>
      <c r="AJ6" s="309"/>
      <c r="AK6" s="373"/>
      <c r="AL6" s="373"/>
      <c r="AM6" s="373"/>
      <c r="AN6" s="374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</row>
    <row r="7" spans="1:70" ht="17">
      <c r="A7" s="444" t="s">
        <v>476</v>
      </c>
      <c r="B7" s="444" t="s">
        <v>7</v>
      </c>
      <c r="C7" s="1447">
        <f>AVERAGE(AO$17,AO$18,AO$19)</f>
        <v>892.0970583831953</v>
      </c>
      <c r="D7" s="404">
        <f>STDEV(AO$17,AO$18,AO$19)</f>
        <v>68.084799782858482</v>
      </c>
      <c r="E7" s="1447">
        <v>136.16959956571696</v>
      </c>
      <c r="F7" s="1447">
        <f>AVERAGE($AO$20,$AO$21,$AO$22)</f>
        <v>120.75942347570799</v>
      </c>
      <c r="G7" s="404">
        <f>STDEV($AO$20,$AO$21,$AO$22)</f>
        <v>2.8268888593168722</v>
      </c>
      <c r="H7" s="1447">
        <v>5.6537777186337443</v>
      </c>
      <c r="I7" s="1447">
        <f>AVERAGE($AO$14:$AO$16)</f>
        <v>261.58677734794315</v>
      </c>
      <c r="J7" s="404">
        <f>STDEV($AO$14:$AO$16)</f>
        <v>18.103356675585754</v>
      </c>
      <c r="K7" s="1447">
        <v>36.206713351171508</v>
      </c>
      <c r="L7" s="1322">
        <v>3.4103293271455941</v>
      </c>
      <c r="M7" s="790">
        <v>0.3513499172496406</v>
      </c>
      <c r="N7" s="876">
        <v>0.7026998344992812</v>
      </c>
      <c r="O7" s="443">
        <v>0.95</v>
      </c>
      <c r="P7" s="443">
        <v>-1.26</v>
      </c>
      <c r="Q7" s="779">
        <v>0.43075927899999999</v>
      </c>
      <c r="R7" s="790">
        <f t="shared" si="0"/>
        <v>0.24327395579979952</v>
      </c>
      <c r="S7" s="790" cm="1">
        <f t="array" ref="S7:S9">O7:O9*(((1-(2*C46))/(1-C46))^P7:P9)</f>
        <v>4.4745529664165078</v>
      </c>
      <c r="T7" s="790" cm="1">
        <f t="array" ref="T7:T9">O7:O9*(((1-(2*C47))/(1-C47))^P7:P9)</f>
        <v>7.6727705038172305</v>
      </c>
      <c r="U7" s="790">
        <v>1.1649798443042032</v>
      </c>
      <c r="V7" s="790">
        <v>2.0332376930965195</v>
      </c>
      <c r="W7" s="856">
        <f t="shared" si="1"/>
        <v>5.639532810720711</v>
      </c>
      <c r="X7" s="404">
        <f t="shared" si="2"/>
        <v>0.6047184122526218</v>
      </c>
      <c r="Y7" s="404">
        <f t="shared" si="4"/>
        <v>6.2301245341055009E-2</v>
      </c>
      <c r="Z7" s="404"/>
      <c r="AA7" s="1509">
        <v>7.3873908363155598</v>
      </c>
      <c r="AB7" s="790">
        <v>0.58973072961624406</v>
      </c>
      <c r="AC7" s="749">
        <v>1.1794614592324881</v>
      </c>
      <c r="AD7" s="404"/>
      <c r="AE7" s="869">
        <v>0.46164192510037633</v>
      </c>
      <c r="AF7" s="749">
        <v>3.3726582474320123E-2</v>
      </c>
      <c r="AG7" s="861">
        <v>6.7453164948640246E-2</v>
      </c>
      <c r="AH7" s="444" t="s">
        <v>7</v>
      </c>
      <c r="AJ7" s="309" t="s">
        <v>36</v>
      </c>
      <c r="AK7" s="310">
        <v>54.3</v>
      </c>
      <c r="AL7" s="311">
        <v>2646</v>
      </c>
      <c r="AM7" s="311">
        <v>1933</v>
      </c>
      <c r="AN7" s="372">
        <v>184300</v>
      </c>
      <c r="AO7" s="311">
        <v>506</v>
      </c>
      <c r="AP7" s="311">
        <v>10770</v>
      </c>
      <c r="AQ7" s="311">
        <v>10770</v>
      </c>
      <c r="AR7" s="311">
        <v>131</v>
      </c>
      <c r="AS7" s="311">
        <v>323</v>
      </c>
      <c r="AT7" s="311">
        <v>323</v>
      </c>
      <c r="AU7" s="310">
        <v>9.7100000000000009</v>
      </c>
      <c r="AV7" s="310">
        <v>32.6</v>
      </c>
      <c r="AW7" s="310">
        <v>32.6</v>
      </c>
      <c r="AX7" s="310">
        <v>1.81</v>
      </c>
      <c r="AY7" s="310">
        <v>0.92800000000000005</v>
      </c>
      <c r="AZ7" s="310">
        <v>0.68300000000000005</v>
      </c>
      <c r="BA7" s="310">
        <v>0.14000000000000001</v>
      </c>
      <c r="BB7" s="310">
        <v>0.55600000000000005</v>
      </c>
      <c r="BC7" s="310">
        <v>0.19700000000000001</v>
      </c>
      <c r="BD7" s="310">
        <v>1.68</v>
      </c>
      <c r="BE7" s="310">
        <v>0.13300000000000001</v>
      </c>
      <c r="BF7" s="310">
        <v>9.0300000000000005E-2</v>
      </c>
      <c r="BG7" s="310">
        <v>3.95E-2</v>
      </c>
      <c r="BH7" s="310">
        <v>0.50600000000000001</v>
      </c>
      <c r="BI7" s="310">
        <v>0.48</v>
      </c>
      <c r="BJ7" s="310">
        <v>0.98199999999999998</v>
      </c>
      <c r="BK7" s="310">
        <v>0.14799999999999999</v>
      </c>
      <c r="BL7" s="310">
        <v>2.5299999999999998</v>
      </c>
      <c r="BM7" s="310">
        <v>0.111</v>
      </c>
      <c r="BN7" s="307"/>
      <c r="BO7" s="307"/>
      <c r="BP7" s="307"/>
      <c r="BQ7" s="307"/>
      <c r="BR7" s="307"/>
    </row>
    <row r="8" spans="1:70" ht="17">
      <c r="A8" s="444" t="s">
        <v>476</v>
      </c>
      <c r="B8" s="444" t="s">
        <v>477</v>
      </c>
      <c r="C8" s="404">
        <f>AVERAGE(AP$17,AP$18,AP$19)</f>
        <v>387789.5499366505</v>
      </c>
      <c r="D8" s="404">
        <f>STDEV(AP$17,AP$18,AP$19)</f>
        <v>24506.177551425131</v>
      </c>
      <c r="E8" s="404">
        <v>49012.355102850262</v>
      </c>
      <c r="F8" s="404">
        <f>AVERAGE($AP$20,$AP$21,$AP$22)</f>
        <v>17258.413127148273</v>
      </c>
      <c r="G8" s="404">
        <f>STDEV($AP$20,$AP$21,$AP$22)</f>
        <v>720.88677632188978</v>
      </c>
      <c r="H8" s="404">
        <v>1441.7735526437796</v>
      </c>
      <c r="I8" s="404">
        <f>AVERAGE($AP$14:$AP$16)</f>
        <v>11870.245907093078</v>
      </c>
      <c r="J8" s="404">
        <f>STDEV($AP$14:$AP$16)</f>
        <v>4268.6225842009981</v>
      </c>
      <c r="K8" s="404">
        <v>8537.2451684019961</v>
      </c>
      <c r="L8" s="1323">
        <v>32.669040976221602</v>
      </c>
      <c r="M8" s="571">
        <v>11.928033974560995</v>
      </c>
      <c r="N8" s="862">
        <v>23.856067949121989</v>
      </c>
      <c r="O8" s="443">
        <v>0.874</v>
      </c>
      <c r="P8" s="443">
        <v>-0.51700000000000002</v>
      </c>
      <c r="Q8" s="779">
        <v>0.43075927899999999</v>
      </c>
      <c r="R8" s="790">
        <f t="shared" si="0"/>
        <v>0.24327395579979952</v>
      </c>
      <c r="S8" s="790">
        <v>1.6506909543032222</v>
      </c>
      <c r="T8" s="790">
        <v>2.0595065096648724</v>
      </c>
      <c r="U8" s="790">
        <v>0.16440671274637486</v>
      </c>
      <c r="V8" s="790">
        <v>0.24440884261527529</v>
      </c>
      <c r="W8" s="856">
        <f t="shared" si="1"/>
        <v>1.8150976670495971</v>
      </c>
      <c r="X8" s="404">
        <f t="shared" si="2"/>
        <v>17.998503093954408</v>
      </c>
      <c r="Y8" s="404">
        <f t="shared" si="4"/>
        <v>6.5715659223725194</v>
      </c>
      <c r="Z8" s="404"/>
      <c r="AA8" s="1509">
        <v>22.469594804555918</v>
      </c>
      <c r="AB8" s="790">
        <v>1.7021063049390024</v>
      </c>
      <c r="AC8" s="749">
        <v>3.4042126098780048</v>
      </c>
      <c r="AD8" s="404"/>
      <c r="AE8" s="870">
        <v>1.4539221227788963</v>
      </c>
      <c r="AF8" s="871">
        <v>0.52635572250811991</v>
      </c>
      <c r="AG8" s="872">
        <v>1.0527114450162398</v>
      </c>
      <c r="AH8" s="444" t="s">
        <v>477</v>
      </c>
      <c r="AJ8" s="309" t="s">
        <v>37</v>
      </c>
      <c r="AK8" s="310">
        <v>2.2379968536661599</v>
      </c>
      <c r="AL8" s="310">
        <v>0.20960276447867049</v>
      </c>
      <c r="AM8" s="310">
        <v>-0.69418733199241223</v>
      </c>
      <c r="AN8" s="371">
        <v>11.691750240749533</v>
      </c>
      <c r="AO8" s="310">
        <v>0.18794539599399301</v>
      </c>
      <c r="AP8" s="310">
        <v>5.5653873229797268</v>
      </c>
      <c r="AQ8" s="310">
        <v>4.9886693873984198</v>
      </c>
      <c r="AR8" s="310">
        <v>6.5726360255406707E-2</v>
      </c>
      <c r="AS8" s="792">
        <v>4.7305518685847106E-2</v>
      </c>
      <c r="AT8" s="310">
        <v>0.11051709157555123</v>
      </c>
      <c r="AU8" s="310">
        <v>1.6890312811672505E-2</v>
      </c>
      <c r="AV8" s="792">
        <v>0.31953193461060203</v>
      </c>
      <c r="AW8" s="310">
        <v>0.65918523624826908</v>
      </c>
      <c r="AX8" s="310">
        <v>5.5058796815930643E-2</v>
      </c>
      <c r="AY8" s="310">
        <v>5.2922449387922343E-2</v>
      </c>
      <c r="AZ8" s="310">
        <v>1.6266904125682401E-2</v>
      </c>
      <c r="BA8" s="310">
        <v>3.4759360859323513E-3</v>
      </c>
      <c r="BB8" s="310">
        <v>1.8829289131918052E-2</v>
      </c>
      <c r="BC8" s="310">
        <v>1.3101893020302975</v>
      </c>
      <c r="BD8" s="310"/>
      <c r="BE8" s="310"/>
      <c r="BF8" s="310">
        <v>3.0309404394394503E-3</v>
      </c>
      <c r="BG8" s="1377">
        <v>8.2063049571945226E-3</v>
      </c>
      <c r="BH8" s="1377">
        <v>7.8383924392729024E-3</v>
      </c>
      <c r="BI8" s="1377">
        <v>1.8663547736837765E-3</v>
      </c>
      <c r="BJ8" s="1377">
        <v>7.5885446650116985E-3</v>
      </c>
      <c r="BK8" s="310">
        <v>9.7485138812413163E-3</v>
      </c>
      <c r="BL8" s="310"/>
      <c r="BM8" s="310"/>
      <c r="BN8" s="307"/>
      <c r="BO8" s="307"/>
      <c r="BP8" s="307"/>
      <c r="BQ8" s="307"/>
      <c r="BR8" s="307"/>
    </row>
    <row r="9" spans="1:70" ht="18" thickBot="1">
      <c r="A9" s="444" t="s">
        <v>476</v>
      </c>
      <c r="B9" s="444" t="s">
        <v>475</v>
      </c>
      <c r="C9" s="404">
        <f>AVERAGE(AQ$17,AQ$18,AQ$19)</f>
        <v>394922.21091378323</v>
      </c>
      <c r="D9" s="404">
        <f>STDEV(AQ$17,AQ$18,AQ$19)</f>
        <v>21388.36882000004</v>
      </c>
      <c r="E9" s="404">
        <v>42776.737640000079</v>
      </c>
      <c r="F9" s="404">
        <f>AVERAGE($AQ$20,AQ$21,AQ$22)</f>
        <v>17401.712498880072</v>
      </c>
      <c r="G9" s="404">
        <f>STDEV($AQ$20,AQ$21,AQ$22)</f>
        <v>408.72949502107952</v>
      </c>
      <c r="H9" s="404">
        <v>817.45899004215903</v>
      </c>
      <c r="I9" s="406">
        <f>AVERAGE($AQ$14:AS$16)</f>
        <v>63451.120973709883</v>
      </c>
      <c r="J9" s="406">
        <f>STDEV($AQ$14:AT$16)</f>
        <v>85715.755287292472</v>
      </c>
      <c r="K9" s="406">
        <v>171431.51057458494</v>
      </c>
      <c r="L9" s="1323">
        <v>6.224038359817377</v>
      </c>
      <c r="M9" s="571">
        <v>8.4147719859275192</v>
      </c>
      <c r="N9" s="862">
        <v>16.829543971855038</v>
      </c>
      <c r="O9" s="443">
        <v>0.874</v>
      </c>
      <c r="P9" s="443">
        <v>-0.52</v>
      </c>
      <c r="Q9" s="779">
        <v>0.43075927899999999</v>
      </c>
      <c r="R9" s="790">
        <f t="shared" si="0"/>
        <v>0.24327395579979952</v>
      </c>
      <c r="S9" s="790">
        <v>1.6567928602675761</v>
      </c>
      <c r="T9" s="790">
        <v>2.0697754772562487</v>
      </c>
      <c r="U9" s="790">
        <v>0.16601843775472735</v>
      </c>
      <c r="V9" s="790">
        <v>0.2469641792339452</v>
      </c>
      <c r="W9" s="856">
        <f t="shared" si="1"/>
        <v>1.8228112980223035</v>
      </c>
      <c r="X9" s="404">
        <f t="shared" si="2"/>
        <v>3.414526981794701</v>
      </c>
      <c r="Y9" s="404">
        <f t="shared" si="4"/>
        <v>4.616370325912122</v>
      </c>
      <c r="Z9" s="404"/>
      <c r="AA9" s="1509">
        <v>22.694445212745549</v>
      </c>
      <c r="AB9" s="790">
        <v>1.3397061743046512</v>
      </c>
      <c r="AC9" s="749">
        <v>2.6794123486093024</v>
      </c>
      <c r="AD9" s="404"/>
      <c r="AE9" s="870">
        <v>0.27425382297170503</v>
      </c>
      <c r="AF9" s="871">
        <v>0.37054391191936364</v>
      </c>
      <c r="AG9" s="872">
        <v>0.74108782383872729</v>
      </c>
      <c r="AH9" s="444" t="s">
        <v>475</v>
      </c>
      <c r="AJ9" s="309"/>
      <c r="AK9" s="307"/>
      <c r="AL9" s="307"/>
      <c r="AM9" s="307"/>
      <c r="AN9" s="370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8"/>
      <c r="BI9" s="307"/>
      <c r="BJ9" s="307"/>
      <c r="BK9" s="307"/>
      <c r="BL9" s="307"/>
      <c r="BM9" s="307"/>
      <c r="BN9" s="307"/>
      <c r="BO9" s="307"/>
      <c r="BP9" s="307"/>
      <c r="BQ9" s="307"/>
      <c r="BR9" s="307"/>
    </row>
    <row r="10" spans="1:70" ht="17">
      <c r="A10" s="407" t="s">
        <v>270</v>
      </c>
      <c r="B10" s="407" t="s">
        <v>9</v>
      </c>
      <c r="C10" s="1447">
        <f>AVERAGE(AR$17,AR$18,AR$19)</f>
        <v>251.19366194850696</v>
      </c>
      <c r="D10" s="404">
        <f>STDEV(AR$17,AR$18,AR$19)</f>
        <v>26.097568226267231</v>
      </c>
      <c r="E10" s="1447">
        <v>52.195136452534463</v>
      </c>
      <c r="F10" s="1447">
        <f>AVERAGE($AR$20,$AR$21,$AR$22)</f>
        <v>189.83594765299964</v>
      </c>
      <c r="G10" s="404">
        <f>STDEV($AR$20,$AR$21,$AR$22)</f>
        <v>1.7165065236037855</v>
      </c>
      <c r="H10" s="1447">
        <v>3.4330130472075711</v>
      </c>
      <c r="I10" s="1447">
        <f>AVERAGE($AR$14:$AR$16)</f>
        <v>1020.6313072182633</v>
      </c>
      <c r="J10" s="404">
        <f>STDEV($AR$14:$AR$16)</f>
        <v>141.80090582762966</v>
      </c>
      <c r="K10" s="1447">
        <v>283.60181165525933</v>
      </c>
      <c r="L10" s="1322">
        <v>0.24611596780539369</v>
      </c>
      <c r="M10" s="790">
        <v>4.269725800111767E-2</v>
      </c>
      <c r="N10" s="876">
        <v>8.5394516002235341E-2</v>
      </c>
      <c r="O10" s="404">
        <v>0.77</v>
      </c>
      <c r="P10" s="404">
        <v>1.39</v>
      </c>
      <c r="Q10" s="779">
        <v>0.43075927899999999</v>
      </c>
      <c r="R10" s="790">
        <f t="shared" si="0"/>
        <v>0.24327395579979952</v>
      </c>
      <c r="S10" s="790" cm="1">
        <f t="array" ref="S10:S12">O10:O12*(((1-(2*C47))/(1-C47))^P10:P12)</f>
        <v>7.6852707273164664E-2</v>
      </c>
      <c r="T10" s="790" cm="1">
        <f t="array" ref="T10:T12">O10:O12*(((1-(2*C46))/(1-C46))^P10:P12)</f>
        <v>0.13932385472173192</v>
      </c>
      <c r="U10" s="790">
        <v>3.1082625037840692E-2</v>
      </c>
      <c r="V10" s="790">
        <v>3.1388522410726566E-2</v>
      </c>
      <c r="W10" s="856">
        <f t="shared" si="1"/>
        <v>0.10793533231100536</v>
      </c>
      <c r="X10" s="404">
        <f t="shared" si="2"/>
        <v>2.280216890389831</v>
      </c>
      <c r="Y10" s="404">
        <f t="shared" si="4"/>
        <v>0.39558184597134144</v>
      </c>
      <c r="Z10" s="404"/>
      <c r="AA10" s="1509">
        <v>1.3232144125182383</v>
      </c>
      <c r="AB10" s="790">
        <v>0.13799398637905877</v>
      </c>
      <c r="AC10" s="749">
        <v>0.27598797275811754</v>
      </c>
      <c r="AD10" s="404"/>
      <c r="AE10" s="869">
        <v>0.18599855433633389</v>
      </c>
      <c r="AF10" s="749">
        <v>2.5896286546344238E-2</v>
      </c>
      <c r="AG10" s="861">
        <v>5.1792573092688476E-2</v>
      </c>
      <c r="AH10" s="407" t="s">
        <v>9</v>
      </c>
      <c r="AJ10" s="432" t="s">
        <v>100</v>
      </c>
      <c r="AK10" s="428"/>
      <c r="AL10" s="427">
        <v>21.029830332120358</v>
      </c>
      <c r="AM10" s="427">
        <v>12.913037946022019</v>
      </c>
      <c r="AN10" s="431">
        <v>937000</v>
      </c>
      <c r="AO10" s="427">
        <v>4422.2400601520649</v>
      </c>
      <c r="AP10" s="427">
        <v>53097.967371827006</v>
      </c>
      <c r="AQ10" s="427">
        <v>52653.587141627198</v>
      </c>
      <c r="AR10" s="427">
        <v>138.85463844575648</v>
      </c>
      <c r="AS10" s="511" t="s">
        <v>744</v>
      </c>
      <c r="AT10" s="511" t="s">
        <v>743</v>
      </c>
      <c r="AU10" s="427">
        <v>55.145027332492774</v>
      </c>
      <c r="AV10" s="427">
        <v>169.20966004343066</v>
      </c>
      <c r="AW10" s="427">
        <v>171.73208088302752</v>
      </c>
      <c r="AX10" s="428">
        <v>4.456232861323663</v>
      </c>
      <c r="AY10" s="428">
        <v>5.9902886300096911</v>
      </c>
      <c r="AZ10" s="427">
        <v>18.372241920613821</v>
      </c>
      <c r="BA10" s="428">
        <v>1.9909853934053807</v>
      </c>
      <c r="BB10" s="428">
        <v>1.5209475625459661</v>
      </c>
      <c r="BC10" s="532">
        <v>0.28185894253086413</v>
      </c>
      <c r="BD10" s="425"/>
      <c r="BE10" s="425"/>
      <c r="BF10" s="428">
        <v>2.8285890748354952</v>
      </c>
      <c r="BG10" s="428">
        <v>1.0994620969065536</v>
      </c>
      <c r="BH10" s="428">
        <v>9.0185445556960442</v>
      </c>
      <c r="BI10" s="427">
        <v>14.541439616430948</v>
      </c>
      <c r="BJ10" s="427">
        <v>28.352382555604684</v>
      </c>
      <c r="BK10" s="425">
        <v>0.606496814147237</v>
      </c>
      <c r="BL10" s="425"/>
      <c r="BM10" s="425"/>
      <c r="BN10" s="422"/>
      <c r="BO10" s="424">
        <v>46.903999328613196</v>
      </c>
      <c r="BP10" s="423">
        <v>1.1121160918248212</v>
      </c>
      <c r="BQ10" s="422"/>
      <c r="BR10" s="421" t="s">
        <v>328</v>
      </c>
    </row>
    <row r="11" spans="1:70" ht="18" thickBot="1">
      <c r="A11" s="407" t="s">
        <v>270</v>
      </c>
      <c r="B11" s="407" t="s">
        <v>468</v>
      </c>
      <c r="C11" s="1447">
        <f>AVERAGE(AS$17,AS$18,AS$19)</f>
        <v>28.13361632263501</v>
      </c>
      <c r="D11" s="404">
        <f>STDEV(AS$17,AS$18,AS$19)</f>
        <v>8.0438166383828023</v>
      </c>
      <c r="E11" s="1447">
        <v>16.087633276765605</v>
      </c>
      <c r="F11" s="1447">
        <f>AVERAGE($AS$20,$AS$21,$AS$22)</f>
        <v>64.319925863581261</v>
      </c>
      <c r="G11" s="404">
        <f>STDEV($AS$20,$AS$21,$AS$22)</f>
        <v>2.2838555139887924</v>
      </c>
      <c r="H11" s="1447">
        <v>4.5677110279775848</v>
      </c>
      <c r="I11" s="1447">
        <f>AVERAGE($AS$14:$AS$16)</f>
        <v>62.410002640449164</v>
      </c>
      <c r="J11" s="404">
        <f>STDEV($AS$14:$AS$16)</f>
        <v>3.1741197102604883</v>
      </c>
      <c r="K11" s="1447">
        <v>6.3482394205209767</v>
      </c>
      <c r="L11" s="1322">
        <v>0.45078697536220025</v>
      </c>
      <c r="M11" s="790">
        <v>0.13090989815779103</v>
      </c>
      <c r="N11" s="876">
        <v>0.26181979631558205</v>
      </c>
      <c r="O11" s="404">
        <v>0.66</v>
      </c>
      <c r="P11" s="404">
        <v>0.99</v>
      </c>
      <c r="Q11" s="779">
        <v>0.43075927899999999</v>
      </c>
      <c r="R11" s="790">
        <f t="shared" si="0"/>
        <v>0.24327395579979952</v>
      </c>
      <c r="S11" s="790">
        <v>0.12785610254318616</v>
      </c>
      <c r="T11" s="790">
        <v>0.19531597006973228</v>
      </c>
      <c r="U11" s="790">
        <v>3.4990460308962384E-2</v>
      </c>
      <c r="V11" s="790">
        <v>3.2469407217583734E-2</v>
      </c>
      <c r="W11" s="856">
        <f t="shared" si="1"/>
        <v>0.16284656285214855</v>
      </c>
      <c r="X11" s="404">
        <f t="shared" si="2"/>
        <v>2.7681700336007595</v>
      </c>
      <c r="Y11" s="404">
        <f t="shared" si="4"/>
        <v>0.80388493232520108</v>
      </c>
      <c r="Z11" s="404"/>
      <c r="AA11" s="1509">
        <v>0.4374012554415056</v>
      </c>
      <c r="AB11" s="790">
        <v>0.12602019763357541</v>
      </c>
      <c r="AC11" s="749">
        <v>0.25204039526715083</v>
      </c>
      <c r="AD11" s="404"/>
      <c r="AE11" s="869">
        <v>1.0306028383644745</v>
      </c>
      <c r="AF11" s="749">
        <v>6.392606950085096E-2</v>
      </c>
      <c r="AG11" s="861">
        <v>0.12785213900170192</v>
      </c>
      <c r="AH11" s="407" t="s">
        <v>468</v>
      </c>
      <c r="AJ11" s="420" t="s">
        <v>101</v>
      </c>
      <c r="AK11" s="415"/>
      <c r="AL11" s="414">
        <v>24.971802888269359</v>
      </c>
      <c r="AM11" s="415">
        <v>7.0337260410643854</v>
      </c>
      <c r="AN11" s="419">
        <v>937000</v>
      </c>
      <c r="AO11" s="414">
        <v>4777.4375590731934</v>
      </c>
      <c r="AP11" s="414">
        <v>56894.186973987802</v>
      </c>
      <c r="AQ11" s="414">
        <v>57330.605442494147</v>
      </c>
      <c r="AR11" s="414">
        <v>151.12626543805922</v>
      </c>
      <c r="AS11" s="508" t="s">
        <v>630</v>
      </c>
      <c r="AT11" s="508" t="s">
        <v>742</v>
      </c>
      <c r="AU11" s="414">
        <v>60.858253898274008</v>
      </c>
      <c r="AV11" s="414">
        <v>184.79036547444142</v>
      </c>
      <c r="AW11" s="414">
        <v>182.27291601877681</v>
      </c>
      <c r="AX11" s="415">
        <v>4.1431678433844095</v>
      </c>
      <c r="AY11" s="415">
        <v>6.8027311999978934</v>
      </c>
      <c r="AZ11" s="414">
        <v>21.626574689618952</v>
      </c>
      <c r="BA11" s="415">
        <v>2.2094151344726982</v>
      </c>
      <c r="BB11" s="415">
        <v>1.3404569674543101</v>
      </c>
      <c r="BC11" s="508" t="s">
        <v>741</v>
      </c>
      <c r="BD11" s="413"/>
      <c r="BE11" s="413"/>
      <c r="BF11" s="415">
        <v>2.8712850235707825</v>
      </c>
      <c r="BG11" s="415">
        <v>1.1803213689643883</v>
      </c>
      <c r="BH11" s="415">
        <v>9.862137456927849</v>
      </c>
      <c r="BI11" s="414">
        <v>15.658566392098541</v>
      </c>
      <c r="BJ11" s="414">
        <v>31.850157114527157</v>
      </c>
      <c r="BK11" s="413">
        <v>0.71342949099752162</v>
      </c>
      <c r="BL11" s="413"/>
      <c r="BM11" s="413"/>
      <c r="BN11" s="410"/>
      <c r="BO11" s="412">
        <v>39.194000244140597</v>
      </c>
      <c r="BP11" s="411">
        <v>1.0764455162698177</v>
      </c>
      <c r="BQ11" s="410"/>
      <c r="BR11" s="409" t="s">
        <v>324</v>
      </c>
    </row>
    <row r="12" spans="1:70" ht="17">
      <c r="A12" s="407" t="s">
        <v>270</v>
      </c>
      <c r="B12" s="407" t="s">
        <v>461</v>
      </c>
      <c r="C12" s="406">
        <f>AVERAGE(AT$17,AT$18,AT$19)</f>
        <v>18.945846513389419</v>
      </c>
      <c r="D12" s="406" t="e">
        <f>STDEV(AT$17,AT$18,AT$19)</f>
        <v>#DIV/0!</v>
      </c>
      <c r="E12" s="406" t="e">
        <v>#DIV/0!</v>
      </c>
      <c r="F12" s="1444">
        <f>AVERAGE($AT$20,$AT$21,$AT$22)</f>
        <v>34.997226908369676</v>
      </c>
      <c r="G12" s="404">
        <f>STDEV($AT$20,$AT$21,$AT$22)</f>
        <v>3.2110428220413247</v>
      </c>
      <c r="H12" s="1444">
        <v>6.4220856440826495</v>
      </c>
      <c r="I12" s="404">
        <f>AVERAGE($AT$14:$AT$16)</f>
        <v>40.519960594799905</v>
      </c>
      <c r="J12" s="404">
        <f>STDEV($AT$14:$AT$16)</f>
        <v>3.2378317589173764</v>
      </c>
      <c r="K12" s="404">
        <v>6.4756635178347528</v>
      </c>
      <c r="L12" s="1323">
        <v>0.46756823637732803</v>
      </c>
      <c r="M12" s="571" t="e">
        <v>#DIV/0!</v>
      </c>
      <c r="N12" s="862" t="e">
        <v>#DIV/0!</v>
      </c>
      <c r="O12" s="404">
        <v>0.66</v>
      </c>
      <c r="P12" s="404">
        <v>0.99</v>
      </c>
      <c r="Q12" s="779">
        <v>0.43075927899999999</v>
      </c>
      <c r="R12" s="790">
        <f t="shared" si="0"/>
        <v>0.24327395579979952</v>
      </c>
      <c r="S12" s="790">
        <v>0.12785610254318616</v>
      </c>
      <c r="T12" s="790">
        <v>0.19531597006973228</v>
      </c>
      <c r="U12" s="790">
        <v>3.4990460308962384E-2</v>
      </c>
      <c r="V12" s="790">
        <v>3.2469407217583734E-2</v>
      </c>
      <c r="W12" s="856">
        <f t="shared" si="1"/>
        <v>0.16284656285214855</v>
      </c>
      <c r="X12" s="404">
        <f t="shared" si="2"/>
        <v>2.8712195590019425</v>
      </c>
      <c r="Y12" s="404" t="e">
        <f t="shared" si="4"/>
        <v>#DIV/0!</v>
      </c>
      <c r="Z12" s="404"/>
      <c r="AA12" s="857">
        <v>0.54135279240820289</v>
      </c>
      <c r="AB12" s="406" t="e">
        <v>#DIV/0!</v>
      </c>
      <c r="AC12" s="571" t="e">
        <v>#DIV/0!</v>
      </c>
      <c r="AD12" s="404"/>
      <c r="AE12" s="869">
        <v>0.86370337963411092</v>
      </c>
      <c r="AF12" s="749">
        <v>0.10508630358113943</v>
      </c>
      <c r="AG12" s="861">
        <v>0.21017260716227887</v>
      </c>
      <c r="AH12" s="407" t="s">
        <v>461</v>
      </c>
      <c r="AJ12" s="396" t="s">
        <v>740</v>
      </c>
      <c r="AK12" s="402"/>
      <c r="AL12" s="401">
        <v>106.62812388700533</v>
      </c>
      <c r="AM12" s="402">
        <v>5.7169200074554514</v>
      </c>
      <c r="AN12" s="408">
        <v>830000</v>
      </c>
      <c r="AO12" s="401">
        <v>7931.5886620782467</v>
      </c>
      <c r="AP12" s="401">
        <v>164746.42232414658</v>
      </c>
      <c r="AQ12" s="401">
        <v>166921.49471684211</v>
      </c>
      <c r="AR12" s="402">
        <v>2.2605617374390357</v>
      </c>
      <c r="AS12" s="516" t="s">
        <v>395</v>
      </c>
      <c r="AT12" s="516" t="s">
        <v>739</v>
      </c>
      <c r="AU12" s="403" t="s">
        <v>636</v>
      </c>
      <c r="AV12" s="403" t="s">
        <v>738</v>
      </c>
      <c r="AW12" s="403" t="s">
        <v>737</v>
      </c>
      <c r="AX12" s="403" t="s">
        <v>651</v>
      </c>
      <c r="AY12" s="401">
        <v>26.259482205083032</v>
      </c>
      <c r="AZ12" s="401">
        <v>26.120780376356198</v>
      </c>
      <c r="BA12" s="402">
        <v>2.9662084616065791</v>
      </c>
      <c r="BB12" s="402">
        <v>5.0434861119399841</v>
      </c>
      <c r="BC12" s="517" t="s">
        <v>736</v>
      </c>
      <c r="BD12" s="400"/>
      <c r="BE12" s="400"/>
      <c r="BF12" s="402">
        <v>2.9879387489414739</v>
      </c>
      <c r="BG12" s="402">
        <v>2.9399470217668444</v>
      </c>
      <c r="BH12" s="401">
        <v>39.93954319528607</v>
      </c>
      <c r="BI12" s="401">
        <v>26.434296895548435</v>
      </c>
      <c r="BJ12" s="401">
        <v>30.558064949803359</v>
      </c>
      <c r="BK12" s="403" t="s">
        <v>191</v>
      </c>
      <c r="BL12" s="400"/>
      <c r="BM12" s="400"/>
      <c r="BN12" s="398"/>
      <c r="BO12" s="394">
        <v>46.905000686645494</v>
      </c>
      <c r="BP12" s="399">
        <v>0.98754066766414472</v>
      </c>
      <c r="BQ12" s="398"/>
      <c r="BR12" s="398" t="s">
        <v>321</v>
      </c>
    </row>
    <row r="13" spans="1:70" ht="17">
      <c r="A13" s="407" t="s">
        <v>270</v>
      </c>
      <c r="B13" s="407" t="s">
        <v>457</v>
      </c>
      <c r="C13" s="1447">
        <f>AVERAGE(AU$17,AU$18,AU$19)</f>
        <v>113.49096077555974</v>
      </c>
      <c r="D13" s="404">
        <f>STDEV(AU$17,AU$18,AU$19)</f>
        <v>15.771819894697995</v>
      </c>
      <c r="E13" s="1447">
        <v>31.543639789395989</v>
      </c>
      <c r="F13" s="1451">
        <f>AVERAGE($AU$20,$AU$21,$AU$22)</f>
        <v>1.7270277056899064</v>
      </c>
      <c r="G13" s="406">
        <f>STDEV($AU$20,$AU$21,$AU$22)</f>
        <v>1.6337906335250794</v>
      </c>
      <c r="H13" s="1451">
        <v>3.2675812670501587</v>
      </c>
      <c r="I13" s="1444">
        <f>AVERAGE($AU$14:$AU$16)</f>
        <v>13.31462765664889</v>
      </c>
      <c r="J13" s="404">
        <f>STDEV($AU$14:$AU$16)</f>
        <v>1.281500910600732</v>
      </c>
      <c r="K13" s="1444">
        <v>2.563001821201464</v>
      </c>
      <c r="L13" s="850">
        <v>8.5237802890331729</v>
      </c>
      <c r="M13" s="404">
        <v>1.4409024986234906</v>
      </c>
      <c r="N13" s="876">
        <v>2.8818049972469812</v>
      </c>
      <c r="O13" s="404">
        <v>0.76</v>
      </c>
      <c r="P13" s="404">
        <v>-2.81</v>
      </c>
      <c r="Q13" s="779">
        <v>0.43075927899999999</v>
      </c>
      <c r="R13" s="790">
        <f t="shared" si="0"/>
        <v>0.24327395579979952</v>
      </c>
      <c r="S13" s="790" cm="1">
        <f t="array" ref="S13:S20">O13:O20*(((1-(2*C46))/(1-C46))^P13:P20)</f>
        <v>24.086212239073991</v>
      </c>
      <c r="T13" s="790" cm="1">
        <f t="array" ref="T13:T20">O13:O20*(((1-(2*C47))/(1-C47))^P13:P20)</f>
        <v>80.182091774988166</v>
      </c>
      <c r="U13" s="790">
        <v>16.26763152022188</v>
      </c>
      <c r="V13" s="790">
        <v>39.828248015692296</v>
      </c>
      <c r="W13" s="856">
        <f t="shared" si="1"/>
        <v>40.35384375929587</v>
      </c>
      <c r="X13" s="404">
        <f t="shared" si="2"/>
        <v>0.2112259823345736</v>
      </c>
      <c r="Y13" s="404">
        <f t="shared" si="4"/>
        <v>3.5706697662265828E-2</v>
      </c>
      <c r="Z13" s="404"/>
      <c r="AA13" s="857">
        <v>65.71461500105049</v>
      </c>
      <c r="AB13" s="406">
        <v>62.834072358665523</v>
      </c>
      <c r="AC13" s="571">
        <v>125.66814471733105</v>
      </c>
      <c r="AD13" s="790">
        <f>AVERAGE(AU21,AU22)/I13</f>
        <v>0.12970905009329983</v>
      </c>
      <c r="AE13" s="868">
        <v>0.12970905009329983</v>
      </c>
      <c r="AF13" s="571">
        <v>0.12333988258799505</v>
      </c>
      <c r="AG13" s="862">
        <v>0.24667976517599011</v>
      </c>
      <c r="AH13" s="407" t="s">
        <v>457</v>
      </c>
      <c r="AJ13" s="396" t="s">
        <v>735</v>
      </c>
      <c r="AK13" s="401"/>
      <c r="AL13" s="401">
        <v>108.5933506726149</v>
      </c>
      <c r="AM13" s="402">
        <v>2.9573246124890646</v>
      </c>
      <c r="AN13" s="408">
        <v>830000</v>
      </c>
      <c r="AO13" s="401">
        <v>8036.2515636544531</v>
      </c>
      <c r="AP13" s="401">
        <v>162559.80162795732</v>
      </c>
      <c r="AQ13" s="401">
        <v>163961.38291558114</v>
      </c>
      <c r="AR13" s="402">
        <v>1.5283058652043406</v>
      </c>
      <c r="AS13" s="516" t="s">
        <v>734</v>
      </c>
      <c r="AT13" s="516" t="s">
        <v>585</v>
      </c>
      <c r="AU13" s="403" t="s">
        <v>397</v>
      </c>
      <c r="AV13" s="401">
        <v>10.224540662611529</v>
      </c>
      <c r="AW13" s="403" t="s">
        <v>733</v>
      </c>
      <c r="AX13" s="403" t="s">
        <v>732</v>
      </c>
      <c r="AY13" s="401">
        <v>26.700324450374826</v>
      </c>
      <c r="AZ13" s="401">
        <v>26.658693088237424</v>
      </c>
      <c r="BA13" s="402">
        <v>3.0786391172505589</v>
      </c>
      <c r="BB13" s="402">
        <v>5.6502091161483854</v>
      </c>
      <c r="BC13" s="531">
        <v>0.75203258121918792</v>
      </c>
      <c r="BD13" s="400"/>
      <c r="BE13" s="400"/>
      <c r="BF13" s="402">
        <v>3.2356163831478617</v>
      </c>
      <c r="BG13" s="402">
        <v>2.7206197720613838</v>
      </c>
      <c r="BH13" s="401">
        <v>39.834237594078495</v>
      </c>
      <c r="BI13" s="401">
        <v>26.314953261187007</v>
      </c>
      <c r="BJ13" s="401">
        <v>29.330413101969114</v>
      </c>
      <c r="BK13" s="400">
        <v>0.19311266014697012</v>
      </c>
      <c r="BL13" s="400"/>
      <c r="BM13" s="400"/>
      <c r="BN13" s="398"/>
      <c r="BO13" s="394">
        <v>48.189996719360394</v>
      </c>
      <c r="BP13" s="399">
        <v>1.0036045359065917</v>
      </c>
      <c r="BQ13" s="398"/>
      <c r="BR13" s="398" t="s">
        <v>318</v>
      </c>
    </row>
    <row r="14" spans="1:70" ht="17">
      <c r="A14" s="407" t="s">
        <v>270</v>
      </c>
      <c r="B14" s="407" t="s">
        <v>453</v>
      </c>
      <c r="C14" s="1447">
        <f>AVERAGE(AV$17,AV$18,AV$19)</f>
        <v>181.77973199667466</v>
      </c>
      <c r="D14" s="404">
        <f>STDEV(AV$17,AV$18,AV$19)</f>
        <v>23.822542848607846</v>
      </c>
      <c r="E14" s="1447">
        <v>47.645085697215691</v>
      </c>
      <c r="F14" s="1444">
        <f>AVERAGE($AV$20,$AV$21,$AV$22)</f>
        <v>8.8114356897763955</v>
      </c>
      <c r="G14" s="404">
        <f>STDEV($AV$20,$AV$21,$AV$22)</f>
        <v>0.61016637923899408</v>
      </c>
      <c r="H14" s="1444">
        <v>1.2203327584779882</v>
      </c>
      <c r="I14" s="1444">
        <f>AVERAGE($AV$14:$AV$16)</f>
        <v>9.6420037319394343</v>
      </c>
      <c r="J14" s="404">
        <f>STDEV($AV$14:$AV$16)</f>
        <v>0.29137218552458161</v>
      </c>
      <c r="K14" s="1444">
        <v>0.58274437104916321</v>
      </c>
      <c r="L14" s="850">
        <v>18.852899983280828</v>
      </c>
      <c r="M14" s="404">
        <v>2.5355390529948263</v>
      </c>
      <c r="N14" s="876">
        <v>5.0710781059896526</v>
      </c>
      <c r="O14" s="441">
        <v>0.63</v>
      </c>
      <c r="P14" s="404">
        <v>-3.23</v>
      </c>
      <c r="Q14" s="779">
        <v>0.43075927899999999</v>
      </c>
      <c r="R14" s="790">
        <f t="shared" si="0"/>
        <v>0.24327395579979952</v>
      </c>
      <c r="S14" s="790">
        <v>33.468595065480194</v>
      </c>
      <c r="T14" s="790">
        <v>133.35640317967176</v>
      </c>
      <c r="U14" s="790">
        <v>27.100586613547875</v>
      </c>
      <c r="V14" s="790">
        <v>72.787221500643682</v>
      </c>
      <c r="W14" s="856">
        <f t="shared" si="1"/>
        <v>60.56918167902807</v>
      </c>
      <c r="X14" s="404">
        <f t="shared" si="2"/>
        <v>0.31126225352007025</v>
      </c>
      <c r="Y14" s="404">
        <f t="shared" si="4"/>
        <v>4.186186741685418E-2</v>
      </c>
      <c r="Z14" s="404"/>
      <c r="AA14" s="859">
        <v>20.629978858903481</v>
      </c>
      <c r="AB14" s="404">
        <v>3.0578130894976669</v>
      </c>
      <c r="AC14" s="732">
        <v>6.1156261789953339</v>
      </c>
      <c r="AD14" s="790"/>
      <c r="AE14" s="869">
        <v>0.91385939424481277</v>
      </c>
      <c r="AF14" s="749">
        <v>6.9045400351549949E-2</v>
      </c>
      <c r="AG14" s="861">
        <v>0.1380908007030999</v>
      </c>
      <c r="AH14" s="407" t="s">
        <v>453</v>
      </c>
      <c r="AJ14" s="1019" t="s">
        <v>684</v>
      </c>
      <c r="AK14" s="1021"/>
      <c r="AL14" s="1020" t="s">
        <v>190</v>
      </c>
      <c r="AM14" s="1020" t="s">
        <v>731</v>
      </c>
      <c r="AN14" s="1022">
        <v>489800</v>
      </c>
      <c r="AO14" s="1023">
        <v>242.97558750008014</v>
      </c>
      <c r="AP14" s="1023">
        <v>7362.269328879489</v>
      </c>
      <c r="AQ14" s="1023">
        <v>170507.01859582737</v>
      </c>
      <c r="AR14" s="1023">
        <v>875.00159122624416</v>
      </c>
      <c r="AS14" s="1059">
        <v>66.041583638096</v>
      </c>
      <c r="AT14" s="1059">
        <v>44.250923851328572</v>
      </c>
      <c r="AU14" s="1023">
        <v>12.09481622406858</v>
      </c>
      <c r="AV14" s="1024">
        <v>9.305812213768851</v>
      </c>
      <c r="AW14" s="1024">
        <v>3.5431838490247465</v>
      </c>
      <c r="AX14" s="1023">
        <v>41.540359506562709</v>
      </c>
      <c r="AY14" s="1023">
        <v>130.47795601286595</v>
      </c>
      <c r="AZ14" s="1024">
        <v>2.5475713469261874</v>
      </c>
      <c r="BA14" s="1024">
        <v>2.1438100977310741</v>
      </c>
      <c r="BB14" s="1023">
        <v>21.177604093991285</v>
      </c>
      <c r="BC14" s="1059">
        <v>7742.6366157828152</v>
      </c>
      <c r="BD14" s="1021"/>
      <c r="BE14" s="1021"/>
      <c r="BF14" s="1024">
        <v>1.9570087563009233</v>
      </c>
      <c r="BG14" s="1021">
        <v>8.8305602601950361E-2</v>
      </c>
      <c r="BH14" s="1021">
        <v>5.8390660169714587E-2</v>
      </c>
      <c r="BI14" s="1021">
        <v>8.2840255270909019E-2</v>
      </c>
      <c r="BJ14" s="1021">
        <v>0.38144513977748218</v>
      </c>
      <c r="BK14" s="1023">
        <v>21.414460355845151</v>
      </c>
      <c r="BL14" s="1021"/>
      <c r="BM14" s="1021"/>
      <c r="BN14" s="1027"/>
      <c r="BO14" s="1028">
        <v>44.976997375488295</v>
      </c>
      <c r="BP14" s="1029">
        <v>7.2601561986942595</v>
      </c>
      <c r="BQ14" s="1027"/>
      <c r="BR14" s="1030" t="s">
        <v>681</v>
      </c>
    </row>
    <row r="15" spans="1:70" ht="17">
      <c r="A15" s="407" t="s">
        <v>270</v>
      </c>
      <c r="B15" s="407" t="s">
        <v>449</v>
      </c>
      <c r="C15" s="404">
        <f>AVERAGE(AW$17,AW$18,AW$19)</f>
        <v>169.274075414908</v>
      </c>
      <c r="D15" s="404">
        <f>STDEV(AW$17,AW$18,AW$19)</f>
        <v>29.184700196682563</v>
      </c>
      <c r="E15" s="404">
        <v>58.369400393365126</v>
      </c>
      <c r="F15" s="406">
        <f>AVERAGE($AW$20,$AW$21,$AW$22)</f>
        <v>2.4150813587407711</v>
      </c>
      <c r="G15" s="406" t="e">
        <f>STDEV($AW$20,$AW$21,$AW$22)</f>
        <v>#DIV/0!</v>
      </c>
      <c r="H15" s="406" t="e">
        <v>#DIV/0!</v>
      </c>
      <c r="I15" s="404">
        <f>AVERAGE($AW$14:$AW$16)</f>
        <v>4.224151931716821</v>
      </c>
      <c r="J15" s="404">
        <f>STDEV($AW$14:$AW$16)</f>
        <v>0.59044269066854826</v>
      </c>
      <c r="K15" s="404">
        <v>1.1808853813370965</v>
      </c>
      <c r="L15" s="850">
        <v>40.072913605195538</v>
      </c>
      <c r="M15" s="404">
        <v>8.8943240261006835</v>
      </c>
      <c r="N15" s="851">
        <v>17.788648052201367</v>
      </c>
      <c r="O15" s="441">
        <v>0.63</v>
      </c>
      <c r="P15" s="404">
        <v>-3.23</v>
      </c>
      <c r="Q15" s="779">
        <v>0.43075927899999999</v>
      </c>
      <c r="R15" s="790">
        <f t="shared" si="0"/>
        <v>0.24327395579979952</v>
      </c>
      <c r="S15" s="790">
        <v>33.468595065480194</v>
      </c>
      <c r="T15" s="790">
        <v>133.35640317967176</v>
      </c>
      <c r="U15" s="790">
        <v>27.100586613547875</v>
      </c>
      <c r="V15" s="790">
        <v>72.787221500643682</v>
      </c>
      <c r="W15" s="856">
        <f t="shared" si="1"/>
        <v>60.56918167902807</v>
      </c>
      <c r="X15" s="404">
        <f t="shared" si="2"/>
        <v>0.66160566305076374</v>
      </c>
      <c r="Y15" s="404">
        <f t="shared" si="4"/>
        <v>0.14684570237772127</v>
      </c>
      <c r="Z15" s="404"/>
      <c r="AA15" s="857">
        <v>70.090423580250686</v>
      </c>
      <c r="AB15" s="406" t="e">
        <v>#DIV/0!</v>
      </c>
      <c r="AC15" s="571" t="e">
        <v>#DIV/0!</v>
      </c>
      <c r="AD15" s="790"/>
      <c r="AE15" s="868">
        <v>0.57173165117647895</v>
      </c>
      <c r="AF15" s="571" t="e">
        <v>#DIV/0!</v>
      </c>
      <c r="AG15" s="862" t="e">
        <v>#DIV/0!</v>
      </c>
      <c r="AH15" s="407" t="s">
        <v>449</v>
      </c>
      <c r="AJ15" s="1031" t="s">
        <v>680</v>
      </c>
      <c r="AK15" s="978"/>
      <c r="AL15" s="977" t="s">
        <v>159</v>
      </c>
      <c r="AM15" s="977" t="s">
        <v>730</v>
      </c>
      <c r="AN15" s="1032">
        <v>489800</v>
      </c>
      <c r="AO15" s="979">
        <v>279.13550470187818</v>
      </c>
      <c r="AP15" s="979">
        <v>12398.039206038238</v>
      </c>
      <c r="AQ15" s="979">
        <v>200300.0869130613</v>
      </c>
      <c r="AR15" s="979">
        <v>1158.265037918133</v>
      </c>
      <c r="AS15" s="1060">
        <v>60.16555082052021</v>
      </c>
      <c r="AT15" s="1060">
        <v>38.863020048528512</v>
      </c>
      <c r="AU15" s="979">
        <v>13.199075148380055</v>
      </c>
      <c r="AV15" s="980">
        <v>9.7987329686898441</v>
      </c>
      <c r="AW15" s="980">
        <v>4.5935223665714577</v>
      </c>
      <c r="AX15" s="979">
        <v>49.277737290994487</v>
      </c>
      <c r="AY15" s="979">
        <v>137.20345393913769</v>
      </c>
      <c r="AZ15" s="980">
        <v>3.44080317631866</v>
      </c>
      <c r="BA15" s="980">
        <v>3.3210608453889141</v>
      </c>
      <c r="BB15" s="979">
        <v>32.075453581576589</v>
      </c>
      <c r="BC15" s="1060">
        <v>9421.0153271247727</v>
      </c>
      <c r="BD15" s="978"/>
      <c r="BE15" s="978"/>
      <c r="BF15" s="980">
        <v>1.3170838270166376</v>
      </c>
      <c r="BG15" s="978">
        <v>0.10868249530786496</v>
      </c>
      <c r="BH15" s="978">
        <v>5.379168776490037E-2</v>
      </c>
      <c r="BI15" s="978">
        <v>8.5592987116026253E-2</v>
      </c>
      <c r="BJ15" s="978">
        <v>0.48859377289615907</v>
      </c>
      <c r="BK15" s="979">
        <v>32.32102605497635</v>
      </c>
      <c r="BL15" s="978"/>
      <c r="BM15" s="978"/>
      <c r="BN15" s="983"/>
      <c r="BO15" s="984">
        <v>48.189996719360394</v>
      </c>
      <c r="BP15" s="985">
        <v>6.5878600268247496</v>
      </c>
      <c r="BQ15" s="983"/>
      <c r="BR15" s="1033" t="s">
        <v>678</v>
      </c>
    </row>
    <row r="16" spans="1:70" ht="17">
      <c r="A16" s="407" t="s">
        <v>270</v>
      </c>
      <c r="B16" s="407" t="s">
        <v>13</v>
      </c>
      <c r="C16" s="1447">
        <f>AVERAGE(AX$17,AX$18,AX$19)</f>
        <v>414.65184494802719</v>
      </c>
      <c r="D16" s="404">
        <f>STDEV(AX$17,AX$18,AX$19)</f>
        <v>40.27313681977418</v>
      </c>
      <c r="E16" s="1447">
        <v>80.54627363954836</v>
      </c>
      <c r="F16" s="406" t="e">
        <f>AVERAGE($AX$20,$AX$21,$AX$22)</f>
        <v>#DIV/0!</v>
      </c>
      <c r="G16" s="406" t="e">
        <f>STDEV($AX$20,$AX$21,$AX$22)</f>
        <v>#DIV/0!</v>
      </c>
      <c r="H16" s="406" t="e">
        <v>#DIV/0!</v>
      </c>
      <c r="I16" s="1447">
        <f>AVERAGE($AX$14:$AX$16)</f>
        <v>46.216891031546275</v>
      </c>
      <c r="J16" s="404">
        <f>STDEV($AX$14:$AX$16)</f>
        <v>4.1139497934109039</v>
      </c>
      <c r="K16" s="1447">
        <v>8.2278995868218079</v>
      </c>
      <c r="L16" s="850">
        <v>8.9718679836122721</v>
      </c>
      <c r="M16" s="404">
        <v>1.1820003300881248</v>
      </c>
      <c r="N16" s="851">
        <v>2.3640006601762495</v>
      </c>
      <c r="O16" s="441">
        <v>0.23</v>
      </c>
      <c r="P16" s="404">
        <v>-2</v>
      </c>
      <c r="Q16" s="779">
        <v>0.43075927899999999</v>
      </c>
      <c r="R16" s="790">
        <f t="shared" si="0"/>
        <v>0.24327395579979952</v>
      </c>
      <c r="S16" s="790">
        <v>2.6916782816046259</v>
      </c>
      <c r="T16" s="790">
        <v>6.3353882945554609</v>
      </c>
      <c r="U16" s="790">
        <v>1.1946242167105567</v>
      </c>
      <c r="V16" s="790">
        <v>2.4490857962402783</v>
      </c>
      <c r="W16" s="856">
        <f t="shared" si="1"/>
        <v>3.8863024983151826</v>
      </c>
      <c r="X16" s="404">
        <f t="shared" si="2"/>
        <v>2.3085871435643055</v>
      </c>
      <c r="Y16" s="404">
        <f t="shared" si="4"/>
        <v>0.30414522045068643</v>
      </c>
      <c r="Z16" s="404"/>
      <c r="AA16" s="857" t="e">
        <v>#DIV/0!</v>
      </c>
      <c r="AB16" s="406" t="e">
        <v>#DIV/0!</v>
      </c>
      <c r="AC16" s="571" t="e">
        <v>#DIV/0!</v>
      </c>
      <c r="AD16" s="860">
        <f>AVERAGE(0.37,0.31,0.27)/I16</f>
        <v>6.851751807591718E-3</v>
      </c>
      <c r="AE16" s="868" t="e">
        <v>#DIV/0!</v>
      </c>
      <c r="AF16" s="571" t="e">
        <v>#DIV/0!</v>
      </c>
      <c r="AG16" s="862" t="e">
        <v>#DIV/0!</v>
      </c>
      <c r="AH16" s="407" t="s">
        <v>13</v>
      </c>
      <c r="AJ16" s="1031" t="s">
        <v>677</v>
      </c>
      <c r="AK16" s="978"/>
      <c r="AL16" s="977" t="s">
        <v>729</v>
      </c>
      <c r="AM16" s="977" t="s">
        <v>728</v>
      </c>
      <c r="AN16" s="1032">
        <v>489800</v>
      </c>
      <c r="AO16" s="979">
        <v>262.64923984187124</v>
      </c>
      <c r="AP16" s="979">
        <v>15850.429186361504</v>
      </c>
      <c r="AQ16" s="979">
        <v>197003.85932492412</v>
      </c>
      <c r="AR16" s="979">
        <v>1028.6272925104126</v>
      </c>
      <c r="AS16" s="1060">
        <v>61.02287346273129</v>
      </c>
      <c r="AT16" s="1060">
        <v>38.445937884542651</v>
      </c>
      <c r="AU16" s="979">
        <v>14.649991597498037</v>
      </c>
      <c r="AV16" s="980">
        <v>9.8214660133596112</v>
      </c>
      <c r="AW16" s="980">
        <v>4.5357495795542571</v>
      </c>
      <c r="AX16" s="979">
        <v>47.832576297081616</v>
      </c>
      <c r="AY16" s="979">
        <v>138.43402943032277</v>
      </c>
      <c r="AZ16" s="980">
        <v>2.7009006086014402</v>
      </c>
      <c r="BA16" s="980">
        <v>2.1598417018758731</v>
      </c>
      <c r="BB16" s="979">
        <v>27.102248712970695</v>
      </c>
      <c r="BC16" s="1060">
        <v>10653.843898347715</v>
      </c>
      <c r="BD16" s="978"/>
      <c r="BE16" s="978"/>
      <c r="BF16" s="980">
        <v>1.7911627801378309</v>
      </c>
      <c r="BG16" s="978">
        <v>0.12634073921769434</v>
      </c>
      <c r="BH16" s="978">
        <v>7.6762285504330119E-2</v>
      </c>
      <c r="BI16" s="978">
        <v>0.11607363164981038</v>
      </c>
      <c r="BJ16" s="978">
        <v>0.43396329642709064</v>
      </c>
      <c r="BK16" s="979">
        <v>25.278916281591947</v>
      </c>
      <c r="BL16" s="978"/>
      <c r="BM16" s="978"/>
      <c r="BN16" s="983"/>
      <c r="BO16" s="984">
        <v>46.261997222900398</v>
      </c>
      <c r="BP16" s="985">
        <v>6.9478177114887503</v>
      </c>
      <c r="BQ16" s="983"/>
      <c r="BR16" s="1033" t="s">
        <v>675</v>
      </c>
    </row>
    <row r="17" spans="1:70" ht="17">
      <c r="A17" s="435" t="s">
        <v>444</v>
      </c>
      <c r="B17" s="435" t="s">
        <v>443</v>
      </c>
      <c r="C17" s="1448">
        <f>AVERAGE(AY$48,AY$49,AY$50)</f>
        <v>212.38444634743632</v>
      </c>
      <c r="D17" s="433">
        <f>STDEV(AY$48,AY$49,AY$50)</f>
        <v>19.156724206448327</v>
      </c>
      <c r="E17" s="1448">
        <v>38.313448412896655</v>
      </c>
      <c r="F17" s="1448">
        <f>AVERAGE($AY$51,$AY$52,$AY$53)</f>
        <v>266.42954648633912</v>
      </c>
      <c r="G17" s="433">
        <f>STDEV($AY$51,$AY$52,$AY$53)</f>
        <v>8.5910170552809486</v>
      </c>
      <c r="H17" s="1448">
        <v>17.182034110561897</v>
      </c>
      <c r="I17" s="1448">
        <f>AVERAGE($AY$45:$AY$47)</f>
        <v>132.71443138697245</v>
      </c>
      <c r="J17" s="433">
        <f>STDEV($AY$45:$AY$47)</f>
        <v>6.8402015125913076</v>
      </c>
      <c r="K17" s="1448">
        <v>13.680403025182615</v>
      </c>
      <c r="L17" s="930">
        <v>1.6003116174167964</v>
      </c>
      <c r="M17" s="570">
        <v>0.16624911268384268</v>
      </c>
      <c r="N17" s="879">
        <v>0.33249822536768536</v>
      </c>
      <c r="O17" s="440">
        <v>0.67</v>
      </c>
      <c r="P17" s="433">
        <v>-1.33</v>
      </c>
      <c r="Q17" s="778">
        <v>0.43075927899999999</v>
      </c>
      <c r="R17" s="570">
        <f t="shared" si="0"/>
        <v>0.24327395579979952</v>
      </c>
      <c r="S17" s="570">
        <v>3.4394673148202122</v>
      </c>
      <c r="T17" s="570">
        <v>6.0772205106851693</v>
      </c>
      <c r="U17" s="570">
        <v>0.95157509783155003</v>
      </c>
      <c r="V17" s="570">
        <v>1.6861780980334071</v>
      </c>
      <c r="W17" s="888">
        <f t="shared" si="1"/>
        <v>4.3910424126517622</v>
      </c>
      <c r="X17" s="433">
        <f t="shared" si="2"/>
        <v>0.3644491369078724</v>
      </c>
      <c r="Y17" s="433">
        <f t="shared" si="4"/>
        <v>3.7860967182834479E-2</v>
      </c>
      <c r="Z17" s="433"/>
      <c r="AA17" s="885">
        <v>0.79715050056704617</v>
      </c>
      <c r="AB17" s="570">
        <v>7.6358028362575742E-2</v>
      </c>
      <c r="AC17" s="573">
        <v>0.15271605672515148</v>
      </c>
      <c r="AD17" s="433"/>
      <c r="AE17" s="873">
        <v>2.0075401273391016</v>
      </c>
      <c r="AF17" s="573">
        <v>0.12205098039905272</v>
      </c>
      <c r="AG17" s="864">
        <v>0.24410196079810545</v>
      </c>
      <c r="AH17" s="435" t="s">
        <v>443</v>
      </c>
      <c r="AJ17" s="1003" t="s">
        <v>674</v>
      </c>
      <c r="AK17" s="990"/>
      <c r="AL17" s="989" t="s">
        <v>727</v>
      </c>
      <c r="AM17" s="989">
        <v>31.253388825578465</v>
      </c>
      <c r="AN17" s="1004">
        <v>551500</v>
      </c>
      <c r="AO17" s="991">
        <v>967.63635433114825</v>
      </c>
      <c r="AP17" s="991">
        <v>414663.7939163862</v>
      </c>
      <c r="AQ17" s="991">
        <v>416009.04716135509</v>
      </c>
      <c r="AR17" s="991">
        <v>247.42558827398537</v>
      </c>
      <c r="AS17" s="1056">
        <v>37.279369563781273</v>
      </c>
      <c r="AT17" s="1056">
        <v>18.945846513389419</v>
      </c>
      <c r="AU17" s="991">
        <v>118.63764350139694</v>
      </c>
      <c r="AV17" s="991">
        <v>167.86200595801949</v>
      </c>
      <c r="AW17" s="991">
        <v>148.11310965583343</v>
      </c>
      <c r="AX17" s="991">
        <v>442.69900406943202</v>
      </c>
      <c r="AY17" s="991">
        <v>229.04500343770135</v>
      </c>
      <c r="AZ17" s="991">
        <v>196.29163658768272</v>
      </c>
      <c r="BA17" s="991">
        <v>233.65222732841832</v>
      </c>
      <c r="BB17" s="991">
        <v>164.77125412366453</v>
      </c>
      <c r="BC17" s="1057" t="s">
        <v>726</v>
      </c>
      <c r="BD17" s="990"/>
      <c r="BE17" s="990"/>
      <c r="BF17" s="991">
        <v>109.14655901046943</v>
      </c>
      <c r="BG17" s="1002">
        <v>6.9592551317718714</v>
      </c>
      <c r="BH17" s="991">
        <v>44.682323056518761</v>
      </c>
      <c r="BI17" s="991">
        <v>169.11003596643653</v>
      </c>
      <c r="BJ17" s="991">
        <v>91.260906535222489</v>
      </c>
      <c r="BK17" s="991">
        <v>453.26888879652893</v>
      </c>
      <c r="BL17" s="990"/>
      <c r="BM17" s="990"/>
      <c r="BN17" s="994"/>
      <c r="BO17" s="995">
        <v>46.904996871948299</v>
      </c>
      <c r="BP17" s="996">
        <v>0.21669887840197929</v>
      </c>
      <c r="BQ17" s="994"/>
      <c r="BR17" s="1005" t="s">
        <v>670</v>
      </c>
    </row>
    <row r="18" spans="1:70" ht="17">
      <c r="A18" s="407" t="s">
        <v>270</v>
      </c>
      <c r="B18" s="407" t="s">
        <v>440</v>
      </c>
      <c r="C18" s="1447">
        <f>AVERAGE(AZ$17,AZ$18,AZ$19)</f>
        <v>224.67605604833605</v>
      </c>
      <c r="D18" s="404">
        <f>STDEV(AZ$17,AZ$18,AZ$19)</f>
        <v>90.953621102858321</v>
      </c>
      <c r="E18" s="1447">
        <v>181.90724220571664</v>
      </c>
      <c r="F18" s="406">
        <f>AVERAGE($AZ$20,$AZ$21,$AZ$22)</f>
        <v>0.79966180834976608</v>
      </c>
      <c r="G18" s="406">
        <f>STDEV($AZ$20,$AZ$21,$AZ$22)</f>
        <v>0.45793631365909476</v>
      </c>
      <c r="H18" s="406">
        <v>0.91587262731818952</v>
      </c>
      <c r="I18" s="1444">
        <f>AVERAGE($AZ$14:$AZ$16)</f>
        <v>2.8964250439487622</v>
      </c>
      <c r="J18" s="404">
        <f>STDEV($AZ$14:$AZ$16)</f>
        <v>0.47763807309863343</v>
      </c>
      <c r="K18" s="1444">
        <v>0.95527614619726686</v>
      </c>
      <c r="L18" s="850">
        <v>77.570126151799215</v>
      </c>
      <c r="M18" s="404">
        <v>33.907479046489691</v>
      </c>
      <c r="N18" s="851">
        <v>67.814958092979381</v>
      </c>
      <c r="O18" s="404">
        <v>1.18</v>
      </c>
      <c r="P18" s="404">
        <v>-3.89</v>
      </c>
      <c r="Q18" s="779">
        <v>0.43075927899999999</v>
      </c>
      <c r="R18" s="790">
        <f t="shared" si="0"/>
        <v>0.24327395579979952</v>
      </c>
      <c r="S18" s="790">
        <v>141.1615419464446</v>
      </c>
      <c r="T18" s="790">
        <v>746.05408703726994</v>
      </c>
      <c r="U18" s="790">
        <v>147.22172453007281</v>
      </c>
      <c r="V18" s="790">
        <v>457.67082056075253</v>
      </c>
      <c r="W18" s="856">
        <f t="shared" si="1"/>
        <v>288.38326647651741</v>
      </c>
      <c r="X18" s="404">
        <f t="shared" si="2"/>
        <v>0.26898275721596221</v>
      </c>
      <c r="Y18" s="404">
        <f t="shared" si="4"/>
        <v>0.11757783126869022</v>
      </c>
      <c r="Z18" s="404"/>
      <c r="AA18" s="857">
        <v>280.96384459324389</v>
      </c>
      <c r="AB18" s="571">
        <v>197.04010340633144</v>
      </c>
      <c r="AC18" s="571">
        <v>394.08020681266288</v>
      </c>
      <c r="AD18" s="404"/>
      <c r="AE18" s="870">
        <v>0.27608579411382556</v>
      </c>
      <c r="AF18" s="871">
        <v>0.16452867879229185</v>
      </c>
      <c r="AG18" s="872">
        <v>0.32905735758458371</v>
      </c>
      <c r="AH18" s="407" t="s">
        <v>440</v>
      </c>
      <c r="AJ18" s="1003" t="s">
        <v>663</v>
      </c>
      <c r="AK18" s="991"/>
      <c r="AL18" s="998" t="s">
        <v>722</v>
      </c>
      <c r="AM18" s="991">
        <v>61.383255565292323</v>
      </c>
      <c r="AN18" s="1004">
        <v>551500</v>
      </c>
      <c r="AO18" s="991">
        <v>873.1927499830939</v>
      </c>
      <c r="AP18" s="991">
        <v>382026.01876661391</v>
      </c>
      <c r="AQ18" s="991">
        <v>395513.03383199993</v>
      </c>
      <c r="AR18" s="991">
        <v>278.97044454422695</v>
      </c>
      <c r="AS18" s="1056">
        <v>24.964087253800564</v>
      </c>
      <c r="AT18" s="1057" t="s">
        <v>721</v>
      </c>
      <c r="AU18" s="991">
        <v>126.04653363278491</v>
      </c>
      <c r="AV18" s="991">
        <v>209.2869824030569</v>
      </c>
      <c r="AW18" s="991">
        <v>202.56814171225264</v>
      </c>
      <c r="AX18" s="991">
        <v>432.75213810245975</v>
      </c>
      <c r="AY18" s="991">
        <v>189.41857858179191</v>
      </c>
      <c r="AZ18" s="991">
        <v>326.43712291767969</v>
      </c>
      <c r="BA18" s="991">
        <v>157.51697360741099</v>
      </c>
      <c r="BB18" s="991">
        <v>155.38337146900261</v>
      </c>
      <c r="BC18" s="1057" t="s">
        <v>720</v>
      </c>
      <c r="BD18" s="990"/>
      <c r="BE18" s="990"/>
      <c r="BF18" s="991">
        <v>79.722765029953266</v>
      </c>
      <c r="BG18" s="991">
        <v>107.13856718521667</v>
      </c>
      <c r="BH18" s="991">
        <v>692.41363707665528</v>
      </c>
      <c r="BI18" s="991">
        <v>27.576830288213106</v>
      </c>
      <c r="BJ18" s="991">
        <v>729.49844585802725</v>
      </c>
      <c r="BK18" s="991">
        <v>389.4041278362003</v>
      </c>
      <c r="BL18" s="990"/>
      <c r="BM18" s="990"/>
      <c r="BN18" s="994"/>
      <c r="BO18" s="995">
        <v>44.976999282836893</v>
      </c>
      <c r="BP18" s="996">
        <v>0.16495699865446478</v>
      </c>
      <c r="BQ18" s="994"/>
      <c r="BR18" s="1005" t="s">
        <v>659</v>
      </c>
    </row>
    <row r="19" spans="1:70" ht="17">
      <c r="A19" s="407" t="s">
        <v>270</v>
      </c>
      <c r="B19" s="407" t="s">
        <v>16</v>
      </c>
      <c r="C19" s="1447">
        <f>AVERAGE(BA$17,BA$18,BA$19)</f>
        <v>185.12117993404868</v>
      </c>
      <c r="D19" s="404">
        <f>STDEV(BA$17,BA$18,BA$19)</f>
        <v>42.161519453123653</v>
      </c>
      <c r="E19" s="1447">
        <v>84.323038906247305</v>
      </c>
      <c r="F19" s="404">
        <f>AVERAGE($BA$20,$BA$21,$BA$22)</f>
        <v>0.10630571263338238</v>
      </c>
      <c r="G19" s="404">
        <f>STDEV($BA$20,$BA$21,$BA$22)</f>
        <v>3.1829641045791515E-2</v>
      </c>
      <c r="H19" s="404">
        <v>6.365928209158303E-2</v>
      </c>
      <c r="I19" s="1444">
        <f>AVERAGE($BA$14:$BA$16)</f>
        <v>2.5415708816652871</v>
      </c>
      <c r="J19" s="404">
        <f>STDEV($BA$14:$BA$16)</f>
        <v>0.67510569968136036</v>
      </c>
      <c r="K19" s="1444">
        <v>1.3502113993627207</v>
      </c>
      <c r="L19" s="850">
        <v>72.837307536649803</v>
      </c>
      <c r="M19" s="404">
        <v>25.485493763707133</v>
      </c>
      <c r="N19" s="851">
        <v>50.970987527414266</v>
      </c>
      <c r="O19" s="404">
        <v>0.97</v>
      </c>
      <c r="P19" s="404">
        <v>-2.66</v>
      </c>
      <c r="Q19" s="779">
        <v>0.43075927899999999</v>
      </c>
      <c r="R19" s="790">
        <f t="shared" si="0"/>
        <v>0.24327395579979952</v>
      </c>
      <c r="S19" s="790">
        <v>25.562569274727252</v>
      </c>
      <c r="T19" s="790">
        <v>79.805370597967752</v>
      </c>
      <c r="U19" s="790">
        <v>16.10108825616026</v>
      </c>
      <c r="V19" s="790">
        <v>38.141713067080239</v>
      </c>
      <c r="W19" s="856">
        <f t="shared" si="1"/>
        <v>41.663657530887512</v>
      </c>
      <c r="X19" s="404">
        <f t="shared" si="2"/>
        <v>1.7482216361502008</v>
      </c>
      <c r="Y19" s="404">
        <f t="shared" si="4"/>
        <v>0.61169602656255906</v>
      </c>
      <c r="Z19" s="404"/>
      <c r="AA19" s="877">
        <v>1741.4038751847515</v>
      </c>
      <c r="AB19" s="404">
        <v>655.1023406816272</v>
      </c>
      <c r="AC19" s="732">
        <v>1310.2046813632544</v>
      </c>
      <c r="AD19" s="404"/>
      <c r="AE19" s="1491">
        <v>4.1826774692873721E-2</v>
      </c>
      <c r="AF19" s="779">
        <v>1.6741520285170515E-2</v>
      </c>
      <c r="AG19" s="1500">
        <v>3.348304057034103E-2</v>
      </c>
      <c r="AH19" s="407" t="s">
        <v>16</v>
      </c>
      <c r="AJ19" s="1003" t="s">
        <v>658</v>
      </c>
      <c r="AK19" s="991"/>
      <c r="AL19" s="997" t="s">
        <v>719</v>
      </c>
      <c r="AM19" s="991">
        <v>77.813082014880735</v>
      </c>
      <c r="AN19" s="1004">
        <v>551500</v>
      </c>
      <c r="AO19" s="991">
        <v>835.46207083534387</v>
      </c>
      <c r="AP19" s="991">
        <v>366678.8371269512</v>
      </c>
      <c r="AQ19" s="991">
        <v>373244.55174799461</v>
      </c>
      <c r="AR19" s="991">
        <v>227.18495302730858</v>
      </c>
      <c r="AS19" s="1056">
        <v>22.157392150323201</v>
      </c>
      <c r="AT19" s="1057" t="s">
        <v>718</v>
      </c>
      <c r="AU19" s="991">
        <v>95.788705192497375</v>
      </c>
      <c r="AV19" s="991">
        <v>168.1902076289476</v>
      </c>
      <c r="AW19" s="991">
        <v>157.1409748766379</v>
      </c>
      <c r="AX19" s="991">
        <v>368.50439267218968</v>
      </c>
      <c r="AY19" s="991">
        <v>178.28985367568797</v>
      </c>
      <c r="AZ19" s="991">
        <v>151.2994086396458</v>
      </c>
      <c r="BA19" s="991">
        <v>164.1943388663168</v>
      </c>
      <c r="BB19" s="991">
        <v>135.20659809757436</v>
      </c>
      <c r="BC19" s="1058" t="s">
        <v>717</v>
      </c>
      <c r="BD19" s="990"/>
      <c r="BE19" s="990"/>
      <c r="BF19" s="991">
        <v>69.316932847911929</v>
      </c>
      <c r="BG19" s="991">
        <v>8324.6080314195606</v>
      </c>
      <c r="BH19" s="991">
        <v>43.96929172676171</v>
      </c>
      <c r="BI19" s="991">
        <v>15.838245622843059</v>
      </c>
      <c r="BJ19" s="991">
        <v>99.203004266851394</v>
      </c>
      <c r="BK19" s="991">
        <v>351.17626904464157</v>
      </c>
      <c r="BL19" s="990"/>
      <c r="BM19" s="990"/>
      <c r="BN19" s="994"/>
      <c r="BO19" s="995">
        <v>45.619997024536197</v>
      </c>
      <c r="BP19" s="996">
        <v>0.18750222945326689</v>
      </c>
      <c r="BQ19" s="994"/>
      <c r="BR19" s="1005" t="s">
        <v>655</v>
      </c>
    </row>
    <row r="20" spans="1:70" ht="17">
      <c r="A20" s="407" t="s">
        <v>270</v>
      </c>
      <c r="B20" s="407" t="s">
        <v>435</v>
      </c>
      <c r="C20" s="1447">
        <f>AVERAGE(BB$17,BB$18,BB$19)</f>
        <v>151.78707456341382</v>
      </c>
      <c r="D20" s="404">
        <f>STDEV(BB$17,BB$18,BB$19)</f>
        <v>15.106860529577881</v>
      </c>
      <c r="E20" s="1447">
        <v>30.213721059155763</v>
      </c>
      <c r="F20" s="404">
        <f>AVERAGE($BB$20,$BB$21,$BB$22)</f>
        <v>0.1110007596949811</v>
      </c>
      <c r="G20" s="404">
        <f>STDEV($BB$20,$BB$21,$BB$22)</f>
        <v>1.8219007813167123E-2</v>
      </c>
      <c r="H20" s="404">
        <v>3.6438015626334246E-2</v>
      </c>
      <c r="I20" s="1447">
        <f>AVERAGE($BB$14:$BB$16)</f>
        <v>26.785102129512854</v>
      </c>
      <c r="J20" s="404">
        <f>STDEV($BB$14:$BB$16)</f>
        <v>5.4558424949832496</v>
      </c>
      <c r="K20" s="1447">
        <v>10.911684989966499</v>
      </c>
      <c r="L20" s="850">
        <v>5.666846959533113</v>
      </c>
      <c r="M20" s="404">
        <v>1.2846998851614175</v>
      </c>
      <c r="N20" s="851">
        <v>2.5693997703228351</v>
      </c>
      <c r="O20" s="404">
        <v>0.54</v>
      </c>
      <c r="P20" s="404">
        <v>-0.70699999999999996</v>
      </c>
      <c r="Q20" s="779">
        <v>0.43075927899999999</v>
      </c>
      <c r="R20" s="790">
        <f t="shared" si="0"/>
        <v>0.24327395579979952</v>
      </c>
      <c r="S20" s="790">
        <v>1.288356798229674</v>
      </c>
      <c r="T20" s="790">
        <v>1.7436118397466875</v>
      </c>
      <c r="U20" s="790">
        <v>0.17862308546732852</v>
      </c>
      <c r="V20" s="790">
        <v>0.27663195604968505</v>
      </c>
      <c r="W20" s="856">
        <f t="shared" si="1"/>
        <v>1.4669798836970025</v>
      </c>
      <c r="X20" s="404">
        <f t="shared" si="2"/>
        <v>3.8629343336677766</v>
      </c>
      <c r="Y20" s="404">
        <f t="shared" si="4"/>
        <v>0.87574471841003509</v>
      </c>
      <c r="Z20" s="404"/>
      <c r="AA20" s="859">
        <v>1367.4417632862098</v>
      </c>
      <c r="AB20" s="404">
        <v>262.4831194924526</v>
      </c>
      <c r="AC20" s="732">
        <v>524.9662389849052</v>
      </c>
      <c r="AD20" s="404"/>
      <c r="AE20" s="1491">
        <v>4.1441230710364254E-3</v>
      </c>
      <c r="AF20" s="779">
        <v>1.0840616091014181E-3</v>
      </c>
      <c r="AG20" s="1500">
        <v>2.1681232182028361E-3</v>
      </c>
      <c r="AH20" s="407" t="s">
        <v>435</v>
      </c>
      <c r="AJ20" s="474" t="s">
        <v>669</v>
      </c>
      <c r="AK20" s="471"/>
      <c r="AL20" s="468">
        <v>4.580413185571075</v>
      </c>
      <c r="AM20" s="504" t="s">
        <v>725</v>
      </c>
      <c r="AN20" s="472">
        <v>621500</v>
      </c>
      <c r="AO20" s="471">
        <v>121.71911192878015</v>
      </c>
      <c r="AP20" s="471">
        <v>17440.761250924414</v>
      </c>
      <c r="AQ20" s="471">
        <v>17645.168205167804</v>
      </c>
      <c r="AR20" s="471">
        <v>191.36069182769887</v>
      </c>
      <c r="AS20" s="502">
        <v>66.824715538005321</v>
      </c>
      <c r="AT20" s="502">
        <v>38.406797404583678</v>
      </c>
      <c r="AU20" s="480" t="s">
        <v>185</v>
      </c>
      <c r="AV20" s="468">
        <v>8.1723561827533953</v>
      </c>
      <c r="AW20" s="480" t="s">
        <v>724</v>
      </c>
      <c r="AX20" s="480" t="s">
        <v>636</v>
      </c>
      <c r="AY20" s="471">
        <v>258.09502802615731</v>
      </c>
      <c r="AZ20" s="468">
        <v>1.2847840846169627</v>
      </c>
      <c r="BA20" s="469">
        <v>0.14165120662291508</v>
      </c>
      <c r="BB20" s="469">
        <v>0.12388354366616229</v>
      </c>
      <c r="BC20" s="502">
        <v>96.603621980162458</v>
      </c>
      <c r="BD20" s="469"/>
      <c r="BE20" s="469"/>
      <c r="BF20" s="469">
        <v>0.31434045370255242</v>
      </c>
      <c r="BG20" s="1379">
        <v>6.827790819526865E-3</v>
      </c>
      <c r="BH20" s="473">
        <v>3.7748682818682763E-3</v>
      </c>
      <c r="BI20" s="473">
        <v>1.7594690746844083E-2</v>
      </c>
      <c r="BJ20" s="1379">
        <v>5.8729171548378353E-3</v>
      </c>
      <c r="BK20" s="469">
        <v>0.55171907363667894</v>
      </c>
      <c r="BL20" s="469"/>
      <c r="BM20" s="469"/>
      <c r="BN20" s="465"/>
      <c r="BO20" s="467">
        <v>50.116996765136797</v>
      </c>
      <c r="BP20" s="466">
        <v>5.3510695321679611</v>
      </c>
      <c r="BQ20" s="465"/>
      <c r="BR20" s="464" t="s">
        <v>667</v>
      </c>
    </row>
    <row r="21" spans="1:70" ht="17">
      <c r="A21" s="407" t="s">
        <v>270</v>
      </c>
      <c r="B21" s="407" t="s">
        <v>18</v>
      </c>
      <c r="C21" s="406" t="e">
        <f>AVERAGE(BC$17,BC$18,BC$19)</f>
        <v>#DIV/0!</v>
      </c>
      <c r="D21" s="406" t="e">
        <f>STDEV(BC$17,BC$18,BC$19)</f>
        <v>#DIV/0!</v>
      </c>
      <c r="E21" s="406" t="e">
        <v>#DIV/0!</v>
      </c>
      <c r="F21" s="1446">
        <f>AVERAGE($BC$20,$BC$21,$BC$22)</f>
        <v>129.03641683315686</v>
      </c>
      <c r="G21" s="732">
        <f>STDEV($BC$20,$BC$21,$BC$22)</f>
        <v>49.070216286977853</v>
      </c>
      <c r="H21" s="1446">
        <v>98.140432573955707</v>
      </c>
      <c r="I21" s="1446">
        <f>AVERAGE($BC$14:$BC$16)</f>
        <v>9272.4986137517681</v>
      </c>
      <c r="J21" s="732">
        <f>STDEV($BC$14:$BC$16)</f>
        <v>1461.2750840030317</v>
      </c>
      <c r="K21" s="1446">
        <v>2922.5501680060634</v>
      </c>
      <c r="L21" s="1323" t="e">
        <v>#DIV/0!</v>
      </c>
      <c r="M21" s="571" t="e">
        <v>#DIV/0!</v>
      </c>
      <c r="N21" s="862" t="e">
        <v>#DIV/0!</v>
      </c>
      <c r="O21" s="404">
        <v>0.15</v>
      </c>
      <c r="P21" s="404">
        <v>2.88</v>
      </c>
      <c r="Q21" s="779">
        <v>0.43075927899999999</v>
      </c>
      <c r="R21" s="790">
        <f t="shared" si="0"/>
        <v>0.24327395579979952</v>
      </c>
      <c r="S21" s="790">
        <f>O21*(((1-(2*C47))/(1-C47))^P21)</f>
        <v>1.2659771889972343E-3</v>
      </c>
      <c r="T21" s="790">
        <f>O21*(((1-(2*C46))/(1-C46))^P21)</f>
        <v>4.3425617874627382E-3</v>
      </c>
      <c r="U21" s="790">
        <v>1.2928834643142636E-3</v>
      </c>
      <c r="V21" s="790">
        <v>1.7837011341512404E-3</v>
      </c>
      <c r="W21" s="1366">
        <f t="shared" si="1"/>
        <v>2.5588606533114978E-3</v>
      </c>
      <c r="X21" s="404" t="e">
        <f t="shared" si="2"/>
        <v>#DIV/0!</v>
      </c>
      <c r="Y21" s="404" t="e">
        <f t="shared" si="4"/>
        <v>#DIV/0!</v>
      </c>
      <c r="Z21" s="404"/>
      <c r="AA21" s="857" t="e">
        <v>#DIV/0!</v>
      </c>
      <c r="AB21" s="406" t="e">
        <v>#DIV/0!</v>
      </c>
      <c r="AC21" s="571" t="e">
        <v>#DIV/0!</v>
      </c>
      <c r="AD21" s="404"/>
      <c r="AE21" s="1491">
        <v>1.3916035171122785E-2</v>
      </c>
      <c r="AF21" s="779">
        <v>5.7284339990774716E-3</v>
      </c>
      <c r="AG21" s="1500">
        <v>1.1456867998154943E-2</v>
      </c>
      <c r="AH21" s="407" t="s">
        <v>18</v>
      </c>
      <c r="AJ21" s="474" t="s">
        <v>666</v>
      </c>
      <c r="AK21" s="471"/>
      <c r="AL21" s="468">
        <v>5.8298774491780812</v>
      </c>
      <c r="AM21" s="504" t="s">
        <v>723</v>
      </c>
      <c r="AN21" s="472">
        <v>621500</v>
      </c>
      <c r="AO21" s="471">
        <v>122.98153209437662</v>
      </c>
      <c r="AP21" s="471">
        <v>17870.616357751409</v>
      </c>
      <c r="AQ21" s="471">
        <v>17630.137168798858</v>
      </c>
      <c r="AR21" s="471">
        <v>190.17028019628901</v>
      </c>
      <c r="AS21" s="502">
        <v>63.782036116589715</v>
      </c>
      <c r="AT21" s="502">
        <v>34.554153901026538</v>
      </c>
      <c r="AU21" s="469">
        <v>0.57176326968525693</v>
      </c>
      <c r="AV21" s="468">
        <v>9.3878529396379129</v>
      </c>
      <c r="AW21" s="468">
        <v>2.4150813587407711</v>
      </c>
      <c r="AX21" s="480" t="s">
        <v>160</v>
      </c>
      <c r="AY21" s="471">
        <v>241.32078782519608</v>
      </c>
      <c r="AZ21" s="469">
        <v>0.37489762367280888</v>
      </c>
      <c r="BA21" s="469">
        <v>7.9906678336397127E-2</v>
      </c>
      <c r="BB21" s="469">
        <v>9.8117975723799905E-2</v>
      </c>
      <c r="BC21" s="502">
        <v>105.01636946182842</v>
      </c>
      <c r="BD21" s="469"/>
      <c r="BE21" s="469"/>
      <c r="BF21" s="469">
        <v>0.29913538102354015</v>
      </c>
      <c r="BG21" s="471"/>
      <c r="BH21" s="473">
        <v>1.9928127035714329E-3</v>
      </c>
      <c r="BI21" s="471"/>
      <c r="BJ21" s="471"/>
      <c r="BK21" s="469">
        <v>0.43327955884202818</v>
      </c>
      <c r="BL21" s="469"/>
      <c r="BM21" s="469"/>
      <c r="BN21" s="465"/>
      <c r="BO21" s="467">
        <v>44.976997375488295</v>
      </c>
      <c r="BP21" s="466">
        <v>5.6203067855903219</v>
      </c>
      <c r="BQ21" s="465"/>
      <c r="BR21" s="464" t="s">
        <v>664</v>
      </c>
    </row>
    <row r="22" spans="1:70" ht="17">
      <c r="A22" s="435" t="s">
        <v>391</v>
      </c>
      <c r="B22" s="435" t="s">
        <v>428</v>
      </c>
      <c r="C22" s="406" t="e">
        <f>AVERAGE(BD$48,BD$49,BD$50)</f>
        <v>#DIV/0!</v>
      </c>
      <c r="D22" s="406" t="e">
        <f>STDEV(BD$17,BD$18,BD$19)</f>
        <v>#DIV/0!</v>
      </c>
      <c r="E22" s="406" t="e">
        <v>#DIV/0!</v>
      </c>
      <c r="F22" s="406" t="e">
        <f>AVERAGE($BD$51,$BD$52,$BD$53)</f>
        <v>#DIV/0!</v>
      </c>
      <c r="G22" s="406" t="e">
        <f>STDEV($BD$51,$BD$52,$BD$53)</f>
        <v>#DIV/0!</v>
      </c>
      <c r="H22" s="406" t="e">
        <v>#DIV/0!</v>
      </c>
      <c r="I22" s="406" t="e">
        <f>AVERAGE($BD$45:$BD$47)</f>
        <v>#DIV/0!</v>
      </c>
      <c r="J22" s="406" t="e">
        <f>STDEV($BD$45:$BD$47)</f>
        <v>#DIV/0!</v>
      </c>
      <c r="K22" s="406" t="e">
        <v>#DIV/0!</v>
      </c>
      <c r="L22" s="1323" t="e">
        <v>#DIV/0!</v>
      </c>
      <c r="M22" s="571" t="e">
        <v>#DIV/0!</v>
      </c>
      <c r="N22" s="862" t="e">
        <v>#DIV/0!</v>
      </c>
      <c r="O22" s="433">
        <v>0.13</v>
      </c>
      <c r="P22" s="433">
        <v>-0.84</v>
      </c>
      <c r="Q22" s="778">
        <v>0.43075927899999999</v>
      </c>
      <c r="R22" s="570">
        <f t="shared" si="0"/>
        <v>0.24327395579979952</v>
      </c>
      <c r="S22" s="570" cm="1">
        <f t="array" ref="S22:S29">O22:O29*(((1-(2*C46))/(1-C46))^P22:P29)</f>
        <v>0.36528125336616779</v>
      </c>
      <c r="T22" s="570" cm="1">
        <f t="array" ref="T22:T29">O22:O29*(((1-(2*C47))/(1-C47))^P22:P29)</f>
        <v>0.52331408155581494</v>
      </c>
      <c r="U22" s="570">
        <v>6.0928156572961856E-2</v>
      </c>
      <c r="V22" s="570">
        <v>9.710467161668529E-2</v>
      </c>
      <c r="W22" s="888">
        <f t="shared" si="1"/>
        <v>0.42620940993912965</v>
      </c>
      <c r="X22" s="433" t="e">
        <f t="shared" si="2"/>
        <v>#DIV/0!</v>
      </c>
      <c r="Y22" s="433" t="e">
        <f t="shared" si="4"/>
        <v>#DIV/0!</v>
      </c>
      <c r="Z22" s="433"/>
      <c r="AA22" s="857" t="e">
        <v>#DIV/0!</v>
      </c>
      <c r="AB22" s="406" t="e">
        <v>#DIV/0!</v>
      </c>
      <c r="AC22" s="571" t="e">
        <v>#DIV/0!</v>
      </c>
      <c r="AD22" s="433"/>
      <c r="AE22" s="868" t="e">
        <v>#DIV/0!</v>
      </c>
      <c r="AF22" s="571" t="e">
        <v>#DIV/0!</v>
      </c>
      <c r="AG22" s="862" t="e">
        <v>#DIV/0!</v>
      </c>
      <c r="AH22" s="435" t="s">
        <v>428</v>
      </c>
      <c r="AJ22" s="530" t="s">
        <v>654</v>
      </c>
      <c r="AK22" s="526"/>
      <c r="AL22" s="526">
        <v>11.100620433382833</v>
      </c>
      <c r="AM22" s="529" t="s">
        <v>716</v>
      </c>
      <c r="AN22" s="528">
        <v>621500</v>
      </c>
      <c r="AO22" s="526">
        <v>117.5776264039672</v>
      </c>
      <c r="AP22" s="526">
        <v>16463.861772769</v>
      </c>
      <c r="AQ22" s="526">
        <v>16929.83212267355</v>
      </c>
      <c r="AR22" s="526">
        <v>187.97687093501108</v>
      </c>
      <c r="AS22" s="525">
        <v>62.353025936148754</v>
      </c>
      <c r="AT22" s="525">
        <v>32.030729419498812</v>
      </c>
      <c r="AU22" s="527">
        <v>2.8822921416945557</v>
      </c>
      <c r="AV22" s="527">
        <v>8.87409794693788</v>
      </c>
      <c r="AW22" s="524" t="s">
        <v>715</v>
      </c>
      <c r="AX22" s="524" t="s">
        <v>285</v>
      </c>
      <c r="AY22" s="526">
        <v>241.94608979446576</v>
      </c>
      <c r="AZ22" s="522">
        <v>0.73930371675952633</v>
      </c>
      <c r="BA22" s="522">
        <v>9.7359252940834903E-2</v>
      </c>
      <c r="BB22" s="524" t="s">
        <v>64</v>
      </c>
      <c r="BC22" s="525">
        <v>185.48925905747973</v>
      </c>
      <c r="BD22" s="522"/>
      <c r="BE22" s="522"/>
      <c r="BF22" s="522">
        <v>0.71362878155866893</v>
      </c>
      <c r="BG22" s="524" t="s">
        <v>120</v>
      </c>
      <c r="BH22" s="523">
        <v>1.1167937758678085E-2</v>
      </c>
      <c r="BI22" s="1380">
        <v>1.0091793425968097E-3</v>
      </c>
      <c r="BJ22" s="523">
        <v>2.0355798993237383E-2</v>
      </c>
      <c r="BK22" s="522">
        <v>0.457951895787582</v>
      </c>
      <c r="BL22" s="522"/>
      <c r="BM22" s="522"/>
      <c r="BN22" s="519"/>
      <c r="BO22" s="521">
        <v>22.489000320434599</v>
      </c>
      <c r="BP22" s="520">
        <v>5.9829745328618982</v>
      </c>
      <c r="BQ22" s="519"/>
      <c r="BR22" s="518" t="s">
        <v>652</v>
      </c>
    </row>
    <row r="23" spans="1:70" ht="17">
      <c r="A23" s="435" t="s">
        <v>391</v>
      </c>
      <c r="B23" s="435" t="s">
        <v>20</v>
      </c>
      <c r="C23" s="406" t="e">
        <f>AVERAGE(BE$48,BE$49,BE$50)</f>
        <v>#DIV/0!</v>
      </c>
      <c r="D23" s="406" t="e">
        <f>STDEV(BE$48,BE$49,BE$50)</f>
        <v>#DIV/0!</v>
      </c>
      <c r="E23" s="406" t="e">
        <v>#DIV/0!</v>
      </c>
      <c r="F23" s="406" t="e">
        <f>AVERAGE($BE$51,$BE$52,$BE$53)</f>
        <v>#DIV/0!</v>
      </c>
      <c r="G23" s="406" t="e">
        <f>STDEV($BE$51,$BE$52,$BE$53)</f>
        <v>#DIV/0!</v>
      </c>
      <c r="H23" s="406" t="e">
        <v>#DIV/0!</v>
      </c>
      <c r="I23" s="406" t="e">
        <f>AVERAGE($BE$45:$BE$47)</f>
        <v>#DIV/0!</v>
      </c>
      <c r="J23" s="406" t="e">
        <f>STDEV($BE$45:$BE$47)</f>
        <v>#DIV/0!</v>
      </c>
      <c r="K23" s="406" t="e">
        <v>#DIV/0!</v>
      </c>
      <c r="L23" s="1323" t="e">
        <v>#DIV/0!</v>
      </c>
      <c r="M23" s="571" t="e">
        <v>#DIV/0!</v>
      </c>
      <c r="N23" s="862" t="e">
        <v>#DIV/0!</v>
      </c>
      <c r="O23" s="433">
        <v>0.12</v>
      </c>
      <c r="P23" s="433">
        <v>-0.61</v>
      </c>
      <c r="Q23" s="778">
        <v>0.43075927899999999</v>
      </c>
      <c r="R23" s="570">
        <f t="shared" si="0"/>
        <v>0.24327395579979952</v>
      </c>
      <c r="S23" s="570">
        <v>0.25410389194619343</v>
      </c>
      <c r="T23" s="570">
        <v>0.32990970664933106</v>
      </c>
      <c r="U23" s="570">
        <v>3.0121529815572479E-2</v>
      </c>
      <c r="V23" s="570">
        <v>4.5684284887565152E-2</v>
      </c>
      <c r="W23" s="888">
        <f t="shared" si="1"/>
        <v>0.28422542176176591</v>
      </c>
      <c r="X23" s="433" t="e">
        <f t="shared" si="2"/>
        <v>#DIV/0!</v>
      </c>
      <c r="Y23" s="433" t="e">
        <f t="shared" si="4"/>
        <v>#DIV/0!</v>
      </c>
      <c r="Z23" s="1378" t="s">
        <v>1410</v>
      </c>
      <c r="AA23" s="857" t="e">
        <v>#DIV/0!</v>
      </c>
      <c r="AB23" s="406" t="e">
        <v>#DIV/0!</v>
      </c>
      <c r="AC23" s="571" t="e">
        <v>#DIV/0!</v>
      </c>
      <c r="AD23" s="1534" t="s">
        <v>1410</v>
      </c>
      <c r="AE23" s="868" t="e">
        <v>#DIV/0!</v>
      </c>
      <c r="AF23" s="571" t="e">
        <v>#DIV/0!</v>
      </c>
      <c r="AG23" s="862" t="e">
        <v>#DIV/0!</v>
      </c>
      <c r="AH23" s="435" t="s">
        <v>20</v>
      </c>
      <c r="AJ23" s="396" t="s">
        <v>714</v>
      </c>
      <c r="AK23" s="400"/>
      <c r="AL23" s="401">
        <v>112.87889032775769</v>
      </c>
      <c r="AM23" s="491">
        <v>-3.4001663693350426</v>
      </c>
      <c r="AN23" s="408">
        <v>830000</v>
      </c>
      <c r="AO23" s="401">
        <v>7987.9449129492059</v>
      </c>
      <c r="AP23" s="401">
        <v>157158.78277294987</v>
      </c>
      <c r="AQ23" s="401">
        <v>157747.44853332784</v>
      </c>
      <c r="AR23" s="402">
        <v>1.9754475934397817</v>
      </c>
      <c r="AS23" s="516" t="s">
        <v>322</v>
      </c>
      <c r="AT23" s="515" t="s">
        <v>713</v>
      </c>
      <c r="AU23" s="403" t="s">
        <v>712</v>
      </c>
      <c r="AV23" s="403" t="s">
        <v>711</v>
      </c>
      <c r="AW23" s="403" t="s">
        <v>710</v>
      </c>
      <c r="AX23" s="403" t="s">
        <v>354</v>
      </c>
      <c r="AY23" s="401">
        <v>21.219555651044338</v>
      </c>
      <c r="AZ23" s="401">
        <v>26.24415835513102</v>
      </c>
      <c r="BA23" s="402">
        <v>3.2647657162080495</v>
      </c>
      <c r="BB23" s="402">
        <v>4.2074695531444091</v>
      </c>
      <c r="BC23" s="517" t="s">
        <v>709</v>
      </c>
      <c r="BD23" s="400"/>
      <c r="BE23" s="400"/>
      <c r="BF23" s="402">
        <v>2.8900716394180295</v>
      </c>
      <c r="BG23" s="402">
        <v>2.5825481294222108</v>
      </c>
      <c r="BH23" s="401">
        <v>39.998778934699459</v>
      </c>
      <c r="BI23" s="401">
        <v>26.062641820557971</v>
      </c>
      <c r="BJ23" s="401">
        <v>29.970726666938589</v>
      </c>
      <c r="BK23" s="403" t="s">
        <v>194</v>
      </c>
      <c r="BL23" s="400"/>
      <c r="BM23" s="400"/>
      <c r="BN23" s="398"/>
      <c r="BO23" s="394">
        <v>44.977001190185497</v>
      </c>
      <c r="BP23" s="399">
        <v>0.88155228172758571</v>
      </c>
      <c r="BQ23" s="398"/>
      <c r="BR23" s="398" t="s">
        <v>650</v>
      </c>
    </row>
    <row r="24" spans="1:70" ht="18" thickBot="1">
      <c r="A24" s="407" t="s">
        <v>270</v>
      </c>
      <c r="B24" s="407" t="s">
        <v>422</v>
      </c>
      <c r="C24" s="1447">
        <f>AVERAGE(BF$17,BF$18,BF$19)</f>
        <v>86.06208562944488</v>
      </c>
      <c r="D24" s="404">
        <f>STDEV(BF$48,BF$49,BF$50)</f>
        <v>20.037311364036501</v>
      </c>
      <c r="E24" s="1447">
        <v>40.074622728073003</v>
      </c>
      <c r="F24" s="406">
        <f>AVERAGE($BF$20,$BF$21,$BF$22)</f>
        <v>0.44236820542825384</v>
      </c>
      <c r="G24" s="406">
        <f>STDEV($BF$20,$BF$21,$BF$22)</f>
        <v>0.23504153607553507</v>
      </c>
      <c r="H24" s="406">
        <v>0.47008307215107015</v>
      </c>
      <c r="I24" s="1444">
        <f>AVERAGE($BF$14:$BF$16)</f>
        <v>1.6884184544851306</v>
      </c>
      <c r="J24" s="404">
        <f>STDEV($BF$14:$BF$16)</f>
        <v>0.33210431511837557</v>
      </c>
      <c r="K24" s="1444">
        <v>0.66420863023675114</v>
      </c>
      <c r="L24" s="850">
        <v>50.972011944567861</v>
      </c>
      <c r="M24" s="404">
        <v>15.535688432199631</v>
      </c>
      <c r="N24" s="851">
        <v>31.071376864399262</v>
      </c>
      <c r="O24" s="404">
        <v>0.95</v>
      </c>
      <c r="P24" s="404">
        <v>-3.88</v>
      </c>
      <c r="Q24" s="779">
        <v>0.43075927899999999</v>
      </c>
      <c r="R24" s="790">
        <f t="shared" si="0"/>
        <v>0.24327395579979952</v>
      </c>
      <c r="S24" s="790">
        <v>112.25779696796006</v>
      </c>
      <c r="T24" s="790">
        <v>590.76082027425821</v>
      </c>
      <c r="U24" s="790">
        <v>116.65633831180277</v>
      </c>
      <c r="V24" s="790">
        <v>361.84668499449538</v>
      </c>
      <c r="W24" s="856">
        <f t="shared" si="1"/>
        <v>228.91413527976283</v>
      </c>
      <c r="X24" s="404">
        <f t="shared" si="2"/>
        <v>0.22266869576347234</v>
      </c>
      <c r="Y24" s="404">
        <f t="shared" si="4"/>
        <v>6.7866881235678175E-2</v>
      </c>
      <c r="Z24" s="404"/>
      <c r="AA24" s="857">
        <v>194.54853349175201</v>
      </c>
      <c r="AB24" s="406">
        <v>112.85723840213969</v>
      </c>
      <c r="AC24" s="571">
        <v>225.71447680427937</v>
      </c>
      <c r="AD24" s="404"/>
      <c r="AE24" s="868">
        <v>0.26200152234367186</v>
      </c>
      <c r="AF24" s="571">
        <v>0.14844091002114188</v>
      </c>
      <c r="AG24" s="862">
        <v>0.29688182004228375</v>
      </c>
      <c r="AH24" s="407" t="s">
        <v>422</v>
      </c>
      <c r="AJ24" s="396" t="s">
        <v>708</v>
      </c>
      <c r="AK24" s="402"/>
      <c r="AL24" s="401">
        <v>108.86791378996928</v>
      </c>
      <c r="AM24" s="402">
        <v>9.0575637361757213</v>
      </c>
      <c r="AN24" s="408">
        <v>830000</v>
      </c>
      <c r="AO24" s="401">
        <v>7482.6397845181618</v>
      </c>
      <c r="AP24" s="401">
        <v>148703.47427668099</v>
      </c>
      <c r="AQ24" s="401">
        <v>152657.64117270365</v>
      </c>
      <c r="AR24" s="490" t="s">
        <v>581</v>
      </c>
      <c r="AS24" s="516" t="s">
        <v>707</v>
      </c>
      <c r="AT24" s="515" t="s">
        <v>706</v>
      </c>
      <c r="AU24" s="403" t="s">
        <v>280</v>
      </c>
      <c r="AV24" s="403" t="s">
        <v>705</v>
      </c>
      <c r="AW24" s="403" t="s">
        <v>704</v>
      </c>
      <c r="AX24" s="403" t="s">
        <v>518</v>
      </c>
      <c r="AY24" s="401">
        <v>21.073917210615743</v>
      </c>
      <c r="AZ24" s="401">
        <v>24.354445043160517</v>
      </c>
      <c r="BA24" s="402">
        <v>2.8498480933791819</v>
      </c>
      <c r="BB24" s="402">
        <v>4.2753518479612049</v>
      </c>
      <c r="BC24" s="514">
        <v>10.14954924001704</v>
      </c>
      <c r="BD24" s="400"/>
      <c r="BE24" s="400"/>
      <c r="BF24" s="402">
        <v>2.760843163744743</v>
      </c>
      <c r="BG24" s="402">
        <v>2.1361420519955638</v>
      </c>
      <c r="BH24" s="401">
        <v>35.708266953098331</v>
      </c>
      <c r="BI24" s="401">
        <v>25.199939679809599</v>
      </c>
      <c r="BJ24" s="401">
        <v>29.068424751714588</v>
      </c>
      <c r="BK24" s="403" t="s">
        <v>64</v>
      </c>
      <c r="BL24" s="400"/>
      <c r="BM24" s="400"/>
      <c r="BN24" s="398"/>
      <c r="BO24" s="394">
        <v>50.116996765136797</v>
      </c>
      <c r="BP24" s="399">
        <v>0.88183534938444896</v>
      </c>
      <c r="BQ24" s="398"/>
      <c r="BR24" s="398" t="s">
        <v>649</v>
      </c>
    </row>
    <row r="25" spans="1:70" ht="17">
      <c r="A25" s="407" t="s">
        <v>270</v>
      </c>
      <c r="B25" s="407" t="s">
        <v>22</v>
      </c>
      <c r="C25" s="1553">
        <f>AVERAGE(BG$17,BG$18,BG$19)</f>
        <v>2812.9019512455161</v>
      </c>
      <c r="D25" s="406">
        <f>STDEV(BG$17,BG$18,BG$19)</f>
        <v>4773.5402909487966</v>
      </c>
      <c r="E25" s="1553">
        <v>9547.0805818975932</v>
      </c>
      <c r="F25" s="571">
        <f>AVERAGE($BG$20,$BG$21,$BG$22)</f>
        <v>6.827790819526865E-3</v>
      </c>
      <c r="G25" s="571" t="e">
        <f>STDEV($BG$20,$BG$21,$BG$22)</f>
        <v>#DIV/0!</v>
      </c>
      <c r="H25" s="571" t="e">
        <v>#DIV/0!</v>
      </c>
      <c r="I25" s="404">
        <f>AVERAGE($BG$14:$BG$16)</f>
        <v>0.10777627904250321</v>
      </c>
      <c r="J25" s="404">
        <f>STDEV($BG$14:$BG$16)</f>
        <v>1.9033754891883178E-2</v>
      </c>
      <c r="K25" s="404">
        <v>3.8067509783766357E-2</v>
      </c>
      <c r="L25" s="1323">
        <v>26099.453202835157</v>
      </c>
      <c r="M25" s="571">
        <v>44530.388048320514</v>
      </c>
      <c r="N25" s="862">
        <v>89060.776096641028</v>
      </c>
      <c r="O25" s="404">
        <v>1.65</v>
      </c>
      <c r="P25" s="404">
        <v>-5.08</v>
      </c>
      <c r="Q25" s="779">
        <v>0.43075927899999999</v>
      </c>
      <c r="R25" s="790">
        <f t="shared" si="0"/>
        <v>0.24327395579979952</v>
      </c>
      <c r="S25" s="790">
        <v>853.00984294319869</v>
      </c>
      <c r="T25" s="790">
        <v>7502.3835796868916</v>
      </c>
      <c r="U25" s="790">
        <v>1315.2843627507432</v>
      </c>
      <c r="V25" s="790">
        <v>5334.0893739929497</v>
      </c>
      <c r="W25" s="856">
        <f t="shared" si="1"/>
        <v>2168.2942056939419</v>
      </c>
      <c r="X25" s="404">
        <f t="shared" si="2"/>
        <v>12.036859727936355</v>
      </c>
      <c r="Y25" s="404">
        <f t="shared" si="4"/>
        <v>20.537059930051782</v>
      </c>
      <c r="Z25" s="404">
        <f>C25/AVERAGE(BG20)</f>
        <v>411978.3434490803</v>
      </c>
      <c r="AA25" s="857">
        <v>411978.3434490803</v>
      </c>
      <c r="AB25" s="406" t="e">
        <v>#DIV/0!</v>
      </c>
      <c r="AC25" s="571" t="e">
        <v>#DIV/0!</v>
      </c>
      <c r="AD25" s="1532">
        <f>AVERAGE(BG8,BG8,0.24)/I25</f>
        <v>0.79303971830161513</v>
      </c>
      <c r="AE25" s="868">
        <v>6.3351517422810838E-2</v>
      </c>
      <c r="AF25" s="571" t="e">
        <v>#DIV/0!</v>
      </c>
      <c r="AG25" s="862" t="e">
        <v>#DIV/0!</v>
      </c>
      <c r="AH25" s="407" t="s">
        <v>22</v>
      </c>
      <c r="AJ25" s="432" t="s">
        <v>177</v>
      </c>
      <c r="AK25" s="428"/>
      <c r="AL25" s="427">
        <v>23.343938738394577</v>
      </c>
      <c r="AM25" s="428">
        <v>8.3594701474314661</v>
      </c>
      <c r="AN25" s="431">
        <v>937000</v>
      </c>
      <c r="AO25" s="427">
        <v>4460.5193885454491</v>
      </c>
      <c r="AP25" s="427">
        <v>49877.612165128019</v>
      </c>
      <c r="AQ25" s="427">
        <v>50559.287972164719</v>
      </c>
      <c r="AR25" s="427">
        <v>132.78849697322426</v>
      </c>
      <c r="AS25" s="513" t="s">
        <v>703</v>
      </c>
      <c r="AT25" s="512" t="s">
        <v>702</v>
      </c>
      <c r="AU25" s="427">
        <v>57.902318518545769</v>
      </c>
      <c r="AV25" s="427">
        <v>172.56284680637154</v>
      </c>
      <c r="AW25" s="427">
        <v>182.59795219760608</v>
      </c>
      <c r="AX25" s="428">
        <v>4.2645955803518323</v>
      </c>
      <c r="AY25" s="428">
        <v>5.8864908805224854</v>
      </c>
      <c r="AZ25" s="427">
        <v>19.796100412928613</v>
      </c>
      <c r="BA25" s="428">
        <v>1.9441558265353431</v>
      </c>
      <c r="BB25" s="428">
        <v>1.3603741801594202</v>
      </c>
      <c r="BC25" s="511" t="s">
        <v>701</v>
      </c>
      <c r="BD25" s="425"/>
      <c r="BE25" s="425"/>
      <c r="BF25" s="428">
        <v>2.6640594564844919</v>
      </c>
      <c r="BG25" s="428">
        <v>1.1290864234685942</v>
      </c>
      <c r="BH25" s="428">
        <v>9.0841599338147336</v>
      </c>
      <c r="BI25" s="427">
        <v>14.690530694122574</v>
      </c>
      <c r="BJ25" s="427">
        <v>29.307509765340736</v>
      </c>
      <c r="BK25" s="425">
        <v>0.68426010405887472</v>
      </c>
      <c r="BL25" s="425"/>
      <c r="BM25" s="425"/>
      <c r="BN25" s="422"/>
      <c r="BO25" s="424">
        <v>40.479000091552699</v>
      </c>
      <c r="BP25" s="423">
        <v>0.9174023705952622</v>
      </c>
      <c r="BQ25" s="422"/>
      <c r="BR25" s="421" t="s">
        <v>644</v>
      </c>
    </row>
    <row r="26" spans="1:70" ht="18" thickBot="1">
      <c r="A26" s="407" t="s">
        <v>270</v>
      </c>
      <c r="B26" s="407" t="s">
        <v>23</v>
      </c>
      <c r="C26" s="1553">
        <f>AVERAGE(BH$17,BH$18,BH$19)</f>
        <v>260.35508395331192</v>
      </c>
      <c r="D26" s="406">
        <f>STDEV(BH$17,BH$18,BH$19)</f>
        <v>374.17385277260752</v>
      </c>
      <c r="E26" s="1553">
        <v>748.34770554521504</v>
      </c>
      <c r="F26" s="571">
        <f>AVERAGE($BH$20,$BH$21,$BH$22)</f>
        <v>5.6452062480392652E-3</v>
      </c>
      <c r="G26" s="571">
        <f>STDEV($BH$20,$BH$21,$BH$22)</f>
        <v>4.8651159312997801E-3</v>
      </c>
      <c r="H26" s="571">
        <v>9.7302318625995601E-3</v>
      </c>
      <c r="I26" s="404">
        <f>AVERAGE($BH$14:$BH$16)</f>
        <v>6.2981544479648363E-2</v>
      </c>
      <c r="J26" s="404">
        <f>STDEV($BH$14:$BH$16)</f>
        <v>1.2153981001592476E-2</v>
      </c>
      <c r="K26" s="404">
        <v>2.4307962003184951E-2</v>
      </c>
      <c r="L26" s="1323">
        <v>4133.8313644791951</v>
      </c>
      <c r="M26" s="571">
        <v>5994.3268187020849</v>
      </c>
      <c r="N26" s="862">
        <v>11988.65363740417</v>
      </c>
      <c r="O26" s="404">
        <v>1.71</v>
      </c>
      <c r="P26" s="404">
        <v>-5.34</v>
      </c>
      <c r="Q26" s="779">
        <v>0.43075927899999999</v>
      </c>
      <c r="R26" s="790">
        <f t="shared" si="0"/>
        <v>0.24327395579979952</v>
      </c>
      <c r="S26" s="790">
        <v>1217.1513905595998</v>
      </c>
      <c r="T26" s="790">
        <v>11965.127568298456</v>
      </c>
      <c r="U26" s="790">
        <v>2028.0788551994174</v>
      </c>
      <c r="V26" s="790">
        <v>8719.8973225394384</v>
      </c>
      <c r="W26" s="856">
        <f t="shared" si="1"/>
        <v>3245.2302457590172</v>
      </c>
      <c r="X26" s="404">
        <f t="shared" si="2"/>
        <v>1.2738175880991598</v>
      </c>
      <c r="Y26" s="404">
        <f t="shared" si="4"/>
        <v>1.8471191147486945</v>
      </c>
      <c r="Z26" s="404">
        <f>C26/AVERAGE(BH20,BH21,BH22)</f>
        <v>46119.676148898965</v>
      </c>
      <c r="AA26" s="857">
        <v>46119.676148898965</v>
      </c>
      <c r="AB26" s="406">
        <v>77285.52936588868</v>
      </c>
      <c r="AC26" s="571">
        <v>154571.05873177736</v>
      </c>
      <c r="AD26" s="1533">
        <f>AVERAGE(BH8,BH8,BH22)/I26</f>
        <v>0.14207719027859239</v>
      </c>
      <c r="AE26" s="868">
        <v>8.9632705813739416E-2</v>
      </c>
      <c r="AF26" s="571">
        <v>7.9159578559330715E-2</v>
      </c>
      <c r="AG26" s="862">
        <v>0.15831915711866143</v>
      </c>
      <c r="AH26" s="407" t="s">
        <v>23</v>
      </c>
      <c r="AJ26" s="420" t="s">
        <v>178</v>
      </c>
      <c r="AK26" s="415"/>
      <c r="AL26" s="414">
        <v>22.6557725552127</v>
      </c>
      <c r="AM26" s="414">
        <v>11.681832931902967</v>
      </c>
      <c r="AN26" s="419">
        <v>937000</v>
      </c>
      <c r="AO26" s="414">
        <v>4739.2343522078472</v>
      </c>
      <c r="AP26" s="414">
        <v>60102.489762626836</v>
      </c>
      <c r="AQ26" s="414">
        <v>59413.541318680684</v>
      </c>
      <c r="AR26" s="414">
        <v>157.17524689924574</v>
      </c>
      <c r="AS26" s="510" t="s">
        <v>46</v>
      </c>
      <c r="AT26" s="509" t="s">
        <v>700</v>
      </c>
      <c r="AU26" s="414">
        <v>58.097795716507896</v>
      </c>
      <c r="AV26" s="414">
        <v>181.43716772858735</v>
      </c>
      <c r="AW26" s="414">
        <v>171.39666120451406</v>
      </c>
      <c r="AX26" s="415">
        <v>4.3355485191283849</v>
      </c>
      <c r="AY26" s="415">
        <v>6.9065412268756408</v>
      </c>
      <c r="AZ26" s="415">
        <v>20.203752949954392</v>
      </c>
      <c r="BA26" s="415">
        <v>2.256450152911857</v>
      </c>
      <c r="BB26" s="415">
        <v>1.4987528018939256</v>
      </c>
      <c r="BC26" s="508" t="s">
        <v>579</v>
      </c>
      <c r="BD26" s="413"/>
      <c r="BE26" s="413"/>
      <c r="BF26" s="415">
        <v>3.0349357896822524</v>
      </c>
      <c r="BG26" s="415">
        <v>1.1508596057102514</v>
      </c>
      <c r="BH26" s="415">
        <v>9.7964302230744824</v>
      </c>
      <c r="BI26" s="414">
        <v>15.509473711319567</v>
      </c>
      <c r="BJ26" s="414">
        <v>30.893667559851181</v>
      </c>
      <c r="BK26" s="413">
        <v>0.6357726351904841</v>
      </c>
      <c r="BL26" s="413"/>
      <c r="BM26" s="413"/>
      <c r="BN26" s="410"/>
      <c r="BO26" s="412">
        <v>41.763996124267599</v>
      </c>
      <c r="BP26" s="411">
        <v>0.89403602131009874</v>
      </c>
      <c r="BQ26" s="410"/>
      <c r="BR26" s="409" t="s">
        <v>644</v>
      </c>
    </row>
    <row r="27" spans="1:70" ht="17">
      <c r="A27" s="407" t="s">
        <v>270</v>
      </c>
      <c r="B27" s="407" t="s">
        <v>24</v>
      </c>
      <c r="C27" s="1553">
        <f>AVERAGE(BI$17,BI$18,BI$19)</f>
        <v>70.841703959164235</v>
      </c>
      <c r="D27" s="406">
        <f>STDEV(BI$17,BI$18,BI$19)</f>
        <v>85.305025638031069</v>
      </c>
      <c r="E27" s="1553">
        <v>170.61005127606214</v>
      </c>
      <c r="F27" s="571">
        <f>AVERAGE($BI$20,$BI$21,$BI$22)</f>
        <v>9.3019350447204469E-3</v>
      </c>
      <c r="G27" s="571">
        <f>STDEV($BI$20,$BI$21,$BI$22)</f>
        <v>1.1727727583390066E-2</v>
      </c>
      <c r="H27" s="571">
        <v>2.3455455166780131E-2</v>
      </c>
      <c r="I27" s="404">
        <f>AVERAGE($BI$14:$BI$16)</f>
        <v>9.4835624678915223E-2</v>
      </c>
      <c r="J27" s="404">
        <f>STDEV($BI$14:$BI$16)</f>
        <v>1.8444080031940348E-2</v>
      </c>
      <c r="K27" s="404">
        <v>3.6888160063880696E-2</v>
      </c>
      <c r="L27" s="1323">
        <v>746.99464677976073</v>
      </c>
      <c r="M27" s="571">
        <v>911.16051445878713</v>
      </c>
      <c r="N27" s="862">
        <v>1822.3210289175743</v>
      </c>
      <c r="O27" s="404">
        <v>1.49</v>
      </c>
      <c r="P27" s="404">
        <v>-5.04</v>
      </c>
      <c r="Q27" s="779">
        <v>0.43075927899999999</v>
      </c>
      <c r="R27" s="790">
        <f t="shared" si="0"/>
        <v>0.24327395579979952</v>
      </c>
      <c r="S27" s="790">
        <v>733.31481740312302</v>
      </c>
      <c r="T27" s="790">
        <v>6340.1667617043349</v>
      </c>
      <c r="U27" s="790">
        <v>1117.0798071775052</v>
      </c>
      <c r="V27" s="790">
        <v>4489.7721371237067</v>
      </c>
      <c r="W27" s="856">
        <f t="shared" si="1"/>
        <v>1850.3946245806283</v>
      </c>
      <c r="X27" s="404">
        <f t="shared" si="2"/>
        <v>0.40369477778236568</v>
      </c>
      <c r="Y27" s="404">
        <f t="shared" si="4"/>
        <v>0.492414159852681</v>
      </c>
      <c r="Z27" s="404">
        <f>C27/AVERAGE(BI20,BI22)</f>
        <v>7615.8029075221584</v>
      </c>
      <c r="AA27" s="857">
        <v>7615.8029075221584</v>
      </c>
      <c r="AB27" s="406">
        <v>13277.702351742542</v>
      </c>
      <c r="AC27" s="571">
        <v>26555.404703485085</v>
      </c>
      <c r="AD27" s="404"/>
      <c r="AE27" s="868">
        <v>9.8084818613405969E-2</v>
      </c>
      <c r="AF27" s="571">
        <v>0.12512638866785447</v>
      </c>
      <c r="AG27" s="862">
        <v>0.25025277733570894</v>
      </c>
      <c r="AH27" s="407" t="s">
        <v>24</v>
      </c>
      <c r="AJ27" s="309"/>
      <c r="AK27" s="307"/>
      <c r="AL27" s="307"/>
      <c r="AM27" s="307"/>
      <c r="AN27" s="370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</row>
    <row r="28" spans="1:70" ht="18" thickBot="1">
      <c r="A28" s="407" t="s">
        <v>270</v>
      </c>
      <c r="B28" s="407" t="s">
        <v>25</v>
      </c>
      <c r="C28" s="1553">
        <f>AVERAGE(BJ$17,BJ$18,BJ$19)</f>
        <v>306.65411888670036</v>
      </c>
      <c r="D28" s="406">
        <f>STDEV(BJ$17,BJ$18,BJ$19)</f>
        <v>366.21545962448175</v>
      </c>
      <c r="E28" s="1553">
        <v>732.43091924896351</v>
      </c>
      <c r="F28" s="571">
        <f>AVERAGE($BJ$20,$BJ$21,$BJ$22)</f>
        <v>1.3114358074037609E-2</v>
      </c>
      <c r="G28" s="571">
        <f>STDEV($BJ$20,$BJ$21,$BJ$22)</f>
        <v>1.0240943959055813E-2</v>
      </c>
      <c r="H28" s="571">
        <v>2.0481887918111626E-2</v>
      </c>
      <c r="I28" s="404">
        <f>AVERAGE($BJ$14:$BJ$16)</f>
        <v>0.43466740303357732</v>
      </c>
      <c r="J28" s="404">
        <f>STDEV($BJ$14:$BJ$16)</f>
        <v>5.3577786622676989E-2</v>
      </c>
      <c r="K28" s="404">
        <v>0.10715557324535398</v>
      </c>
      <c r="L28" s="1323">
        <v>705.49140963076047</v>
      </c>
      <c r="M28" s="571">
        <v>846.9946690939878</v>
      </c>
      <c r="N28" s="862">
        <v>1693.9893381879756</v>
      </c>
      <c r="O28" s="404">
        <v>0.95</v>
      </c>
      <c r="P28" s="404">
        <v>-4.2</v>
      </c>
      <c r="Q28" s="779">
        <v>0.43075927899999999</v>
      </c>
      <c r="R28" s="790">
        <f t="shared" si="0"/>
        <v>0.24327395579979952</v>
      </c>
      <c r="S28" s="790">
        <v>166.39633841894135</v>
      </c>
      <c r="T28" s="790">
        <v>1004.1970682843355</v>
      </c>
      <c r="U28" s="790">
        <v>193.45408114901687</v>
      </c>
      <c r="V28" s="790">
        <v>644.34664871637733</v>
      </c>
      <c r="W28" s="856">
        <f t="shared" si="1"/>
        <v>359.85041956795823</v>
      </c>
      <c r="X28" s="404">
        <f t="shared" si="2"/>
        <v>1.9605129555713288</v>
      </c>
      <c r="Y28" s="404">
        <f t="shared" si="4"/>
        <v>2.3537409518957966</v>
      </c>
      <c r="Z28" s="404">
        <f>C28/AVERAGE(BJ20,BJ22)</f>
        <v>23383.082660658863</v>
      </c>
      <c r="AA28" s="857">
        <v>23383.082660658863</v>
      </c>
      <c r="AB28" s="406">
        <v>33364.819709713345</v>
      </c>
      <c r="AC28" s="571">
        <v>66729.63941942669</v>
      </c>
      <c r="AD28" s="1533">
        <f>AVERAGE(BJ8,BJ8,BJ22)/I28</f>
        <v>2.7249101324579063E-2</v>
      </c>
      <c r="AE28" s="868">
        <v>3.017101807614625E-2</v>
      </c>
      <c r="AF28" s="571">
        <v>2.3852117839055022E-2</v>
      </c>
      <c r="AG28" s="862">
        <v>4.7704235678110045E-2</v>
      </c>
      <c r="AH28" s="407" t="s">
        <v>25</v>
      </c>
      <c r="AJ28" s="309" t="s">
        <v>699</v>
      </c>
      <c r="AK28" s="308">
        <v>0.7</v>
      </c>
      <c r="AL28" s="311">
        <v>192</v>
      </c>
      <c r="AM28" s="311">
        <v>10</v>
      </c>
      <c r="AN28" s="446">
        <v>830000</v>
      </c>
      <c r="AO28" s="311">
        <v>7890</v>
      </c>
      <c r="AP28" s="311">
        <v>160000</v>
      </c>
      <c r="AQ28" s="311">
        <v>160000</v>
      </c>
      <c r="AR28" s="308">
        <v>2.15</v>
      </c>
      <c r="AS28" s="310">
        <v>0.4</v>
      </c>
      <c r="AT28" s="310">
        <v>0.4</v>
      </c>
      <c r="AU28" s="310">
        <v>0.192</v>
      </c>
      <c r="AV28" s="310">
        <v>4.9000000000000002E-2</v>
      </c>
      <c r="AW28" s="310">
        <v>4.9000000000000002E-2</v>
      </c>
      <c r="AX28" s="310">
        <v>0.48</v>
      </c>
      <c r="AY28" s="308">
        <v>24.6</v>
      </c>
      <c r="AZ28" s="308">
        <v>29.15</v>
      </c>
      <c r="BA28" s="308">
        <v>3.58</v>
      </c>
      <c r="BB28" s="308">
        <v>6.1980000000000004</v>
      </c>
      <c r="BC28" s="310">
        <v>0.1</v>
      </c>
      <c r="BD28" s="310">
        <v>0.6</v>
      </c>
      <c r="BE28" s="310">
        <v>0.19</v>
      </c>
      <c r="BF28" s="308">
        <v>3.1</v>
      </c>
      <c r="BG28" s="308">
        <v>2.73</v>
      </c>
      <c r="BH28" s="308">
        <v>39.22</v>
      </c>
      <c r="BI28" s="308">
        <v>27.6</v>
      </c>
      <c r="BJ28" s="308">
        <v>30.8</v>
      </c>
      <c r="BK28" s="310">
        <v>6.8000000000000005E-2</v>
      </c>
      <c r="BL28" s="308"/>
      <c r="BM28" s="308"/>
      <c r="BN28" s="307"/>
      <c r="BO28" s="307"/>
      <c r="BP28" s="307"/>
      <c r="BQ28" s="307"/>
      <c r="BR28" s="307"/>
    </row>
    <row r="29" spans="1:70" ht="17">
      <c r="A29" s="407" t="s">
        <v>270</v>
      </c>
      <c r="B29" s="407" t="s">
        <v>26</v>
      </c>
      <c r="C29" s="1447">
        <f>AVERAGE(BK$17,BK$18,BK$19)</f>
        <v>397.94976189245699</v>
      </c>
      <c r="D29" s="404">
        <f>STDEV(BK$17,BK$18,BK$19)</f>
        <v>51.580002404210816</v>
      </c>
      <c r="E29" s="1447">
        <v>103.16000480842163</v>
      </c>
      <c r="F29" s="404">
        <f>AVERAGE($BK$20,$BK$21,$BK$22)</f>
        <v>0.48098350942209639</v>
      </c>
      <c r="G29" s="404">
        <f>STDEV($BK$20,$BK$21,$BK$22)</f>
        <v>6.2488567643651849E-2</v>
      </c>
      <c r="H29" s="404">
        <v>0.1249771352873037</v>
      </c>
      <c r="I29" s="1447">
        <f>AVERAGE($BK$14:$BK$16)</f>
        <v>26.338134230804485</v>
      </c>
      <c r="J29" s="404">
        <f>STDEV($BK$14:$BK$16)</f>
        <v>5.5298960962496073</v>
      </c>
      <c r="K29" s="1447">
        <v>11.059792192499215</v>
      </c>
      <c r="L29" s="1322">
        <v>15.109261666189854</v>
      </c>
      <c r="M29" s="790">
        <v>3.7281058150074258</v>
      </c>
      <c r="N29" s="876">
        <v>7.4562116300148515</v>
      </c>
      <c r="O29" s="404">
        <v>0.37</v>
      </c>
      <c r="P29" s="404">
        <v>-1.72</v>
      </c>
      <c r="Q29" s="779">
        <v>0.43075927899999999</v>
      </c>
      <c r="R29" s="790">
        <f t="shared" si="0"/>
        <v>0.24327395579979952</v>
      </c>
      <c r="S29" s="790">
        <v>3.0685675944521509</v>
      </c>
      <c r="T29" s="790">
        <v>6.4067941394843277</v>
      </c>
      <c r="U29" s="790">
        <v>1.1398348348188123</v>
      </c>
      <c r="V29" s="790">
        <v>2.1983917102133645</v>
      </c>
      <c r="W29" s="1367">
        <f>O29*((R29)^P29)</f>
        <v>4.2084024292709632</v>
      </c>
      <c r="X29" s="404">
        <f t="shared" si="2"/>
        <v>3.5902606559438008</v>
      </c>
      <c r="Y29" s="404">
        <f t="shared" si="4"/>
        <v>0.8858719853113618</v>
      </c>
      <c r="Z29" s="404"/>
      <c r="AA29" s="859">
        <v>827.3667477094906</v>
      </c>
      <c r="AB29" s="404">
        <v>151.8362264963026</v>
      </c>
      <c r="AC29" s="732">
        <v>303.6724529926052</v>
      </c>
      <c r="AD29" s="404"/>
      <c r="AE29" s="1491">
        <v>1.8261867192534427E-2</v>
      </c>
      <c r="AF29" s="779">
        <v>4.5089077730149337E-3</v>
      </c>
      <c r="AG29" s="1500">
        <v>9.0178155460298674E-3</v>
      </c>
      <c r="AH29" s="407" t="s">
        <v>26</v>
      </c>
      <c r="AJ29" s="309"/>
      <c r="AK29" s="308" t="s">
        <v>94</v>
      </c>
      <c r="AL29" s="308" t="s">
        <v>94</v>
      </c>
      <c r="AM29" s="308" t="s">
        <v>94</v>
      </c>
      <c r="AN29" s="308" t="s">
        <v>94</v>
      </c>
      <c r="AO29" s="308" t="s">
        <v>94</v>
      </c>
      <c r="AP29" s="308" t="s">
        <v>94</v>
      </c>
      <c r="AQ29" s="308" t="s">
        <v>94</v>
      </c>
      <c r="AR29" s="308" t="s">
        <v>94</v>
      </c>
      <c r="AS29" s="308" t="s">
        <v>94</v>
      </c>
      <c r="AT29" s="308" t="s">
        <v>94</v>
      </c>
      <c r="AU29" s="308" t="s">
        <v>94</v>
      </c>
      <c r="AV29" s="308" t="s">
        <v>94</v>
      </c>
      <c r="AW29" s="308" t="s">
        <v>94</v>
      </c>
      <c r="AX29" s="308" t="s">
        <v>94</v>
      </c>
      <c r="AY29" s="308" t="s">
        <v>94</v>
      </c>
      <c r="AZ29" s="308" t="s">
        <v>94</v>
      </c>
      <c r="BA29" s="308" t="s">
        <v>94</v>
      </c>
      <c r="BB29" s="308" t="s">
        <v>94</v>
      </c>
      <c r="BC29" s="308" t="s">
        <v>94</v>
      </c>
      <c r="BD29" s="308" t="s">
        <v>94</v>
      </c>
      <c r="BE29" s="308" t="s">
        <v>94</v>
      </c>
      <c r="BF29" s="308" t="s">
        <v>94</v>
      </c>
      <c r="BG29" s="308" t="s">
        <v>94</v>
      </c>
      <c r="BH29" s="308" t="s">
        <v>94</v>
      </c>
      <c r="BI29" s="308" t="s">
        <v>94</v>
      </c>
      <c r="BJ29" s="308" t="s">
        <v>94</v>
      </c>
      <c r="BK29" s="308" t="s">
        <v>94</v>
      </c>
      <c r="BL29" s="308"/>
      <c r="BM29" s="308"/>
      <c r="BN29" s="307"/>
      <c r="BO29" s="307"/>
      <c r="BP29" s="307"/>
      <c r="BQ29" s="307"/>
      <c r="BR29" s="307"/>
    </row>
    <row r="30" spans="1:70" ht="17">
      <c r="A30" s="933" t="s">
        <v>1395</v>
      </c>
      <c r="B30" s="933" t="s">
        <v>6</v>
      </c>
      <c r="C30" s="382"/>
      <c r="D30" s="382"/>
      <c r="E30" s="382"/>
      <c r="F30" s="382"/>
      <c r="G30" s="382"/>
      <c r="H30" s="382"/>
      <c r="I30" s="382"/>
      <c r="J30" s="382"/>
      <c r="K30" s="382"/>
      <c r="L30" s="1325">
        <f>K35/E35</f>
        <v>1.1258253890165202</v>
      </c>
      <c r="M30" s="386">
        <f>L30*SQRT((L35/K35)^2 + (F35/E35)^2)</f>
        <v>2.4560310041328106E-2</v>
      </c>
      <c r="N30" s="975">
        <f>2*M30</f>
        <v>4.9120620082656212E-2</v>
      </c>
      <c r="P30" s="382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1510">
        <f>K35/H35</f>
        <v>0.88725960249273317</v>
      </c>
      <c r="AB30" s="382">
        <f>AA30*SQRT((L35/K35)^2 + (I35/H35)^2)</f>
        <v>6.89411371127525E-3</v>
      </c>
      <c r="AC30" s="1508">
        <f>2*AB30</f>
        <v>1.37882274225505E-2</v>
      </c>
      <c r="AD30" s="386"/>
      <c r="AE30" s="1511">
        <f>H35/E35</f>
        <v>1.2688793514925536</v>
      </c>
      <c r="AF30" s="1511">
        <f>AE30*SQRT((F35/E35)^2 +(I35/H35)^2)</f>
        <v>2.743745847290157E-2</v>
      </c>
      <c r="AG30" s="1062">
        <f>2*AF30</f>
        <v>5.487491694580314E-2</v>
      </c>
      <c r="AH30" s="386"/>
      <c r="AJ30" s="309"/>
      <c r="AK30" s="308" t="s">
        <v>94</v>
      </c>
      <c r="AL30" s="308" t="s">
        <v>94</v>
      </c>
      <c r="AM30" s="308" t="s">
        <v>94</v>
      </c>
      <c r="AN30" s="308" t="s">
        <v>94</v>
      </c>
      <c r="AO30" s="308" t="s">
        <v>94</v>
      </c>
      <c r="AP30" s="308" t="s">
        <v>94</v>
      </c>
      <c r="AQ30" s="308" t="s">
        <v>94</v>
      </c>
      <c r="AR30" s="308" t="s">
        <v>94</v>
      </c>
      <c r="AS30" s="308" t="s">
        <v>94</v>
      </c>
      <c r="AT30" s="308" t="s">
        <v>94</v>
      </c>
      <c r="AU30" s="308" t="s">
        <v>94</v>
      </c>
      <c r="AV30" s="308" t="s">
        <v>94</v>
      </c>
      <c r="AW30" s="308" t="s">
        <v>94</v>
      </c>
      <c r="AX30" s="308" t="s">
        <v>94</v>
      </c>
      <c r="AY30" s="308" t="s">
        <v>94</v>
      </c>
      <c r="AZ30" s="308" t="s">
        <v>94</v>
      </c>
      <c r="BA30" s="308" t="s">
        <v>94</v>
      </c>
      <c r="BB30" s="308" t="s">
        <v>94</v>
      </c>
      <c r="BC30" s="308" t="s">
        <v>94</v>
      </c>
      <c r="BD30" s="308" t="s">
        <v>94</v>
      </c>
      <c r="BE30" s="308" t="s">
        <v>94</v>
      </c>
      <c r="BF30" s="308" t="s">
        <v>94</v>
      </c>
      <c r="BG30" s="308" t="s">
        <v>94</v>
      </c>
      <c r="BH30" s="308" t="s">
        <v>94</v>
      </c>
      <c r="BI30" s="308" t="s">
        <v>94</v>
      </c>
      <c r="BJ30" s="308" t="s">
        <v>94</v>
      </c>
      <c r="BK30" s="308" t="s">
        <v>94</v>
      </c>
      <c r="BL30" s="308"/>
      <c r="BM30" s="308"/>
      <c r="BN30" s="307"/>
      <c r="BO30" s="307"/>
      <c r="BP30" s="307"/>
      <c r="BQ30" s="307"/>
      <c r="BR30" s="307"/>
    </row>
    <row r="31" spans="1:70">
      <c r="A31" s="933" t="s">
        <v>1395</v>
      </c>
      <c r="B31" s="933" t="s">
        <v>8</v>
      </c>
      <c r="C31" s="382"/>
      <c r="D31" s="382"/>
      <c r="E31" s="382"/>
      <c r="F31" s="382"/>
      <c r="G31" s="382"/>
      <c r="H31" s="382"/>
      <c r="I31" s="382"/>
      <c r="J31" s="382"/>
      <c r="K31" s="382"/>
      <c r="L31" s="1329">
        <f>K36/E36</f>
        <v>2.169294417954498</v>
      </c>
      <c r="M31" s="972">
        <f>L31*SQRT((L36/K36)^2 + (F36/E36)^2)</f>
        <v>0.1639745186227218</v>
      </c>
      <c r="N31" s="973">
        <f>2*M31</f>
        <v>0.32794903724544361</v>
      </c>
      <c r="P31" s="382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1481">
        <f>K36/H36</f>
        <v>23.789532737341194</v>
      </c>
      <c r="AB31" s="1489">
        <f>AA31*SQRT((L36/K36)^2 + (I36/H36)^2)</f>
        <v>1.6734261116133597</v>
      </c>
      <c r="AC31" s="1494">
        <f>2*AB31</f>
        <v>3.3468522232267195</v>
      </c>
      <c r="AD31" s="1489"/>
      <c r="AE31" s="1486">
        <f>H36/E36</f>
        <v>9.1186928381719282E-2</v>
      </c>
      <c r="AF31" s="1486">
        <f>AE31*SQRT((F36/E36)^2 +(I36/H36)^2)</f>
        <v>9.3776752146802443E-3</v>
      </c>
      <c r="AG31" s="1490">
        <f>2*AF31</f>
        <v>1.8755350429360489E-2</v>
      </c>
      <c r="AH31" s="386"/>
    </row>
    <row r="32" spans="1:70" ht="18" thickBot="1">
      <c r="C32" s="382"/>
      <c r="D32" s="382"/>
      <c r="E32" s="382"/>
      <c r="F32" s="382"/>
      <c r="G32" s="382"/>
      <c r="H32" s="382"/>
      <c r="I32" s="382"/>
      <c r="W32" s="386"/>
      <c r="X32" s="386"/>
      <c r="Y32" s="386"/>
      <c r="Z32" s="386"/>
      <c r="AA32" s="386"/>
      <c r="AB32" s="386"/>
      <c r="AJ32" s="1061" t="s">
        <v>1397</v>
      </c>
      <c r="AK32" s="381" t="s">
        <v>0</v>
      </c>
      <c r="AL32" s="307"/>
      <c r="AM32" s="307"/>
      <c r="AN32" s="373"/>
      <c r="AO32" s="373"/>
      <c r="AP32" s="307"/>
      <c r="AQ32" s="307"/>
      <c r="AR32" s="307"/>
      <c r="AS32" s="307"/>
      <c r="AT32" s="307"/>
      <c r="AU32" s="307"/>
      <c r="AV32" s="307"/>
      <c r="AW32" s="373"/>
      <c r="AX32" s="373"/>
      <c r="AY32" s="373"/>
      <c r="AZ32" s="373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</row>
    <row r="33" spans="2:70" ht="18" thickBot="1">
      <c r="C33" s="382"/>
      <c r="D33" s="397" t="s">
        <v>698</v>
      </c>
      <c r="E33" s="755" t="s">
        <v>393</v>
      </c>
      <c r="F33" s="771" t="s">
        <v>392</v>
      </c>
      <c r="G33" s="771"/>
      <c r="I33" s="772"/>
      <c r="J33" s="762"/>
      <c r="K33" s="762"/>
      <c r="L33" s="755"/>
      <c r="M33" s="772"/>
      <c r="N33" s="772"/>
      <c r="T33" s="727" t="s">
        <v>697</v>
      </c>
      <c r="U33" s="391" t="s">
        <v>386</v>
      </c>
      <c r="V33" s="391" t="s">
        <v>572</v>
      </c>
      <c r="W33" s="390" t="s">
        <v>696</v>
      </c>
      <c r="AJ33" s="380"/>
      <c r="AK33" s="307" t="s">
        <v>692</v>
      </c>
      <c r="AL33" s="307"/>
      <c r="AM33" s="307"/>
      <c r="AN33" s="307"/>
      <c r="AO33" s="373"/>
      <c r="AP33" s="307"/>
      <c r="AQ33" s="307"/>
      <c r="AR33" s="307"/>
      <c r="AS33" s="307"/>
      <c r="AT33" s="379"/>
      <c r="AU33" s="378">
        <v>43685.488171296296</v>
      </c>
      <c r="AV33" s="307"/>
      <c r="AW33" s="379"/>
      <c r="AX33" s="378"/>
      <c r="AY33" s="373"/>
      <c r="AZ33" s="373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</row>
    <row r="34" spans="2:70" ht="35" thickBot="1">
      <c r="C34" s="382"/>
      <c r="D34" s="763"/>
      <c r="E34" s="746" t="s">
        <v>390</v>
      </c>
      <c r="F34" s="757" t="s">
        <v>1346</v>
      </c>
      <c r="G34" s="1423" t="s">
        <v>1416</v>
      </c>
      <c r="H34" s="746" t="s">
        <v>389</v>
      </c>
      <c r="I34" s="757" t="s">
        <v>1347</v>
      </c>
      <c r="J34" s="1423" t="s">
        <v>1417</v>
      </c>
      <c r="K34" s="746" t="s">
        <v>388</v>
      </c>
      <c r="L34" s="757" t="s">
        <v>1348</v>
      </c>
      <c r="M34" s="1422" t="s">
        <v>1418</v>
      </c>
      <c r="T34" s="389"/>
      <c r="U34" s="388" t="s">
        <v>695</v>
      </c>
      <c r="V34" s="388" t="s">
        <v>694</v>
      </c>
      <c r="W34" s="387" t="s">
        <v>693</v>
      </c>
      <c r="AJ34" s="309" t="s">
        <v>2</v>
      </c>
      <c r="AK34" s="375" t="s">
        <v>3</v>
      </c>
      <c r="AL34" s="375" t="s">
        <v>4</v>
      </c>
      <c r="AM34" s="375" t="s">
        <v>5</v>
      </c>
      <c r="AN34" s="377" t="s">
        <v>6</v>
      </c>
      <c r="AO34" s="375" t="s">
        <v>7</v>
      </c>
      <c r="AP34" s="375" t="s">
        <v>8</v>
      </c>
      <c r="AQ34" s="375" t="s">
        <v>8</v>
      </c>
      <c r="AR34" s="375" t="s">
        <v>9</v>
      </c>
      <c r="AS34" s="375" t="s">
        <v>10</v>
      </c>
      <c r="AT34" s="375" t="s">
        <v>10</v>
      </c>
      <c r="AU34" s="375" t="s">
        <v>11</v>
      </c>
      <c r="AV34" s="375" t="s">
        <v>12</v>
      </c>
      <c r="AW34" s="375" t="s">
        <v>12</v>
      </c>
      <c r="AX34" s="375" t="s">
        <v>13</v>
      </c>
      <c r="AY34" s="375" t="s">
        <v>14</v>
      </c>
      <c r="AZ34" s="375" t="s">
        <v>15</v>
      </c>
      <c r="BA34" s="375" t="s">
        <v>16</v>
      </c>
      <c r="BB34" s="375" t="s">
        <v>17</v>
      </c>
      <c r="BC34" s="375" t="s">
        <v>18</v>
      </c>
      <c r="BD34" s="375" t="s">
        <v>19</v>
      </c>
      <c r="BE34" s="375" t="s">
        <v>20</v>
      </c>
      <c r="BF34" s="375" t="s">
        <v>21</v>
      </c>
      <c r="BG34" s="375" t="s">
        <v>22</v>
      </c>
      <c r="BH34" s="375" t="s">
        <v>23</v>
      </c>
      <c r="BI34" s="375" t="s">
        <v>24</v>
      </c>
      <c r="BJ34" s="375" t="s">
        <v>25</v>
      </c>
      <c r="BK34" s="375" t="s">
        <v>26</v>
      </c>
      <c r="BL34" s="375" t="s">
        <v>27</v>
      </c>
      <c r="BM34" s="375" t="s">
        <v>28</v>
      </c>
      <c r="BN34" s="307"/>
      <c r="BO34" s="375" t="s">
        <v>29</v>
      </c>
      <c r="BP34" s="375" t="s">
        <v>30</v>
      </c>
      <c r="BQ34" s="375"/>
      <c r="BR34" s="375" t="s">
        <v>31</v>
      </c>
    </row>
    <row r="35" spans="2:70" ht="17">
      <c r="D35" s="764" t="s">
        <v>6</v>
      </c>
      <c r="E35" s="1413">
        <v>48.98338043478261</v>
      </c>
      <c r="F35" s="755">
        <v>1.0292960773834516</v>
      </c>
      <c r="G35" s="1418" cm="1">
        <f t="array" ref="G35:G37">2*F35:F37</f>
        <v>2.0585921547669033</v>
      </c>
      <c r="H35" s="1413">
        <v>62.153999999999996</v>
      </c>
      <c r="I35" s="755">
        <v>0.31702929112082273</v>
      </c>
      <c r="J35" s="1418" cm="1">
        <f t="array" ref="J35:J37">2*I35:I37</f>
        <v>0.63405858224164546</v>
      </c>
      <c r="K35" s="1413">
        <v>55.146733333333337</v>
      </c>
      <c r="L35" s="755">
        <v>0.32324437165946651</v>
      </c>
      <c r="M35" s="1421" cm="1">
        <f t="array" ref="M35:M37">2*L35:L37</f>
        <v>0.64648874331893302</v>
      </c>
      <c r="AD35" s="762"/>
      <c r="AJ35" s="309" t="s">
        <v>32</v>
      </c>
      <c r="AK35" s="307">
        <v>51</v>
      </c>
      <c r="AL35" s="307">
        <v>53</v>
      </c>
      <c r="AM35" s="307">
        <v>55</v>
      </c>
      <c r="AN35" s="370">
        <v>57</v>
      </c>
      <c r="AO35" s="307">
        <v>59</v>
      </c>
      <c r="AP35" s="307">
        <v>61</v>
      </c>
      <c r="AQ35" s="307">
        <v>62</v>
      </c>
      <c r="AR35" s="307">
        <v>63</v>
      </c>
      <c r="AS35" s="307">
        <v>66</v>
      </c>
      <c r="AT35" s="307">
        <v>67</v>
      </c>
      <c r="AU35" s="307">
        <v>69</v>
      </c>
      <c r="AV35" s="307">
        <v>72</v>
      </c>
      <c r="AW35" s="307">
        <v>73</v>
      </c>
      <c r="AX35" s="307">
        <v>75</v>
      </c>
      <c r="AY35" s="307">
        <v>95</v>
      </c>
      <c r="AZ35" s="307">
        <v>101</v>
      </c>
      <c r="BA35" s="307">
        <v>103</v>
      </c>
      <c r="BB35" s="307">
        <v>105</v>
      </c>
      <c r="BC35" s="307">
        <v>107</v>
      </c>
      <c r="BD35" s="307">
        <v>118</v>
      </c>
      <c r="BE35" s="307">
        <v>121</v>
      </c>
      <c r="BF35" s="307">
        <v>184</v>
      </c>
      <c r="BG35" s="307">
        <v>185</v>
      </c>
      <c r="BH35" s="307">
        <v>189</v>
      </c>
      <c r="BI35" s="307">
        <v>193</v>
      </c>
      <c r="BJ35" s="307">
        <v>195</v>
      </c>
      <c r="BK35" s="307">
        <v>197</v>
      </c>
      <c r="BL35" s="307">
        <v>208</v>
      </c>
      <c r="BM35" s="307">
        <v>209</v>
      </c>
      <c r="BN35" s="307"/>
      <c r="BO35" s="375" t="s">
        <v>33</v>
      </c>
      <c r="BP35" s="375" t="s">
        <v>34</v>
      </c>
      <c r="BQ35" s="307"/>
      <c r="BR35" s="307"/>
    </row>
    <row r="36" spans="2:70" ht="17">
      <c r="D36" s="764" t="s">
        <v>8</v>
      </c>
      <c r="E36" s="1413">
        <v>20.199532608695648</v>
      </c>
      <c r="F36" s="755">
        <v>1.521122537351471</v>
      </c>
      <c r="G36" s="1418">
        <v>3.0422450747029419</v>
      </c>
      <c r="H36" s="1413">
        <v>1.8419333333333334</v>
      </c>
      <c r="I36" s="755">
        <v>0.12900468799159792</v>
      </c>
      <c r="J36" s="1418">
        <v>0.25800937598319584</v>
      </c>
      <c r="K36" s="1413">
        <v>43.818733333333327</v>
      </c>
      <c r="L36" s="755">
        <v>0.28686693447526779</v>
      </c>
      <c r="M36" s="1421">
        <v>0.57373386895053557</v>
      </c>
      <c r="AD36" s="762"/>
      <c r="AJ36" s="309"/>
      <c r="AK36" s="375" t="s">
        <v>35</v>
      </c>
      <c r="AL36" s="375" t="s">
        <v>35</v>
      </c>
      <c r="AM36" s="375" t="s">
        <v>35</v>
      </c>
      <c r="AN36" s="376" t="s">
        <v>35</v>
      </c>
      <c r="AO36" s="375" t="s">
        <v>35</v>
      </c>
      <c r="AP36" s="375" t="s">
        <v>35</v>
      </c>
      <c r="AQ36" s="375" t="s">
        <v>35</v>
      </c>
      <c r="AR36" s="375" t="s">
        <v>35</v>
      </c>
      <c r="AS36" s="375" t="s">
        <v>35</v>
      </c>
      <c r="AT36" s="375" t="s">
        <v>35</v>
      </c>
      <c r="AU36" s="375" t="s">
        <v>35</v>
      </c>
      <c r="AV36" s="375" t="s">
        <v>35</v>
      </c>
      <c r="AW36" s="375" t="s">
        <v>35</v>
      </c>
      <c r="AX36" s="375" t="s">
        <v>35</v>
      </c>
      <c r="AY36" s="375" t="s">
        <v>35</v>
      </c>
      <c r="AZ36" s="375" t="s">
        <v>35</v>
      </c>
      <c r="BA36" s="375" t="s">
        <v>35</v>
      </c>
      <c r="BB36" s="375" t="s">
        <v>35</v>
      </c>
      <c r="BC36" s="375" t="s">
        <v>35</v>
      </c>
      <c r="BD36" s="375" t="s">
        <v>35</v>
      </c>
      <c r="BE36" s="375" t="s">
        <v>35</v>
      </c>
      <c r="BF36" s="375" t="s">
        <v>35</v>
      </c>
      <c r="BG36" s="375" t="s">
        <v>35</v>
      </c>
      <c r="BH36" s="375" t="s">
        <v>35</v>
      </c>
      <c r="BI36" s="375" t="s">
        <v>35</v>
      </c>
      <c r="BJ36" s="375" t="s">
        <v>35</v>
      </c>
      <c r="BK36" s="375" t="s">
        <v>35</v>
      </c>
      <c r="BL36" s="375" t="s">
        <v>35</v>
      </c>
      <c r="BM36" s="375" t="s">
        <v>35</v>
      </c>
      <c r="BN36" s="307"/>
      <c r="BO36" s="307"/>
      <c r="BP36" s="307"/>
      <c r="BQ36" s="307"/>
      <c r="BR36" s="307"/>
    </row>
    <row r="37" spans="2:70" ht="18" thickBot="1">
      <c r="D37" s="766" t="s">
        <v>380</v>
      </c>
      <c r="E37" s="1415">
        <v>29.62885869565217</v>
      </c>
      <c r="F37" s="756">
        <v>0.91399035118518401</v>
      </c>
      <c r="G37" s="1419">
        <v>1.827980702370368</v>
      </c>
      <c r="H37" s="1415">
        <v>35.840533333333333</v>
      </c>
      <c r="I37" s="756">
        <v>0.25811787635736894</v>
      </c>
      <c r="J37" s="1419">
        <v>0.51623575271473787</v>
      </c>
      <c r="K37" s="726">
        <v>2.0333333333333335E-2</v>
      </c>
      <c r="L37" s="1410">
        <v>1.6198177440099614E-2</v>
      </c>
      <c r="M37" s="767">
        <v>3.2396354880199228E-2</v>
      </c>
      <c r="AD37" s="762"/>
      <c r="AJ37" s="309"/>
      <c r="AK37" s="373"/>
      <c r="AL37" s="373"/>
      <c r="AM37" s="373"/>
      <c r="AN37" s="374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</row>
    <row r="38" spans="2:70" ht="17">
      <c r="D38" s="762" t="s">
        <v>379</v>
      </c>
      <c r="E38" s="755">
        <f>SUM(E35:E37)</f>
        <v>98.811771739130435</v>
      </c>
      <c r="F38" s="762"/>
      <c r="G38" s="762"/>
      <c r="H38" s="755">
        <f>SUM(H35:H37)</f>
        <v>99.836466666666666</v>
      </c>
      <c r="I38" s="762"/>
      <c r="J38" s="762"/>
      <c r="K38" s="755">
        <f>SUM(K35:K37)</f>
        <v>98.985799999999998</v>
      </c>
      <c r="L38" s="762"/>
      <c r="M38" s="762"/>
      <c r="AJ38" s="309" t="s">
        <v>36</v>
      </c>
      <c r="AK38" s="310">
        <v>54.3</v>
      </c>
      <c r="AL38" s="311">
        <v>2646</v>
      </c>
      <c r="AM38" s="311">
        <v>1933</v>
      </c>
      <c r="AN38" s="372">
        <v>184300</v>
      </c>
      <c r="AO38" s="311">
        <v>506</v>
      </c>
      <c r="AP38" s="311">
        <v>10770</v>
      </c>
      <c r="AQ38" s="311">
        <v>10770</v>
      </c>
      <c r="AR38" s="311">
        <v>131</v>
      </c>
      <c r="AS38" s="311">
        <v>323</v>
      </c>
      <c r="AT38" s="311">
        <v>323</v>
      </c>
      <c r="AU38" s="310">
        <v>9.7100000000000009</v>
      </c>
      <c r="AV38" s="310">
        <v>32.6</v>
      </c>
      <c r="AW38" s="310">
        <v>32.6</v>
      </c>
      <c r="AX38" s="310">
        <v>1.81</v>
      </c>
      <c r="AY38" s="310">
        <v>0.92800000000000005</v>
      </c>
      <c r="AZ38" s="310">
        <v>0.68300000000000005</v>
      </c>
      <c r="BA38" s="310">
        <v>0.14000000000000001</v>
      </c>
      <c r="BB38" s="310">
        <v>0.55600000000000005</v>
      </c>
      <c r="BC38" s="310">
        <v>0.19700000000000001</v>
      </c>
      <c r="BD38" s="310">
        <v>1.68</v>
      </c>
      <c r="BE38" s="310">
        <v>0.13300000000000001</v>
      </c>
      <c r="BF38" s="310">
        <v>9.0300000000000005E-2</v>
      </c>
      <c r="BG38" s="310">
        <v>3.95E-2</v>
      </c>
      <c r="BH38" s="310">
        <v>0.50600000000000001</v>
      </c>
      <c r="BI38" s="310">
        <v>0.48</v>
      </c>
      <c r="BJ38" s="310">
        <v>0.98199999999999998</v>
      </c>
      <c r="BK38" s="310">
        <v>0.14799999999999999</v>
      </c>
      <c r="BL38" s="310">
        <v>2.5299999999999998</v>
      </c>
      <c r="BM38" s="310">
        <v>0.111</v>
      </c>
      <c r="BN38" s="307"/>
      <c r="BO38" s="307"/>
      <c r="BP38" s="307"/>
      <c r="BQ38" s="307"/>
      <c r="BR38" s="307"/>
    </row>
    <row r="39" spans="2:70" ht="17">
      <c r="AJ39" s="309" t="s">
        <v>37</v>
      </c>
      <c r="AK39" s="310">
        <v>2.2379968536661599</v>
      </c>
      <c r="AL39" s="310">
        <v>0.20960276447867049</v>
      </c>
      <c r="AM39" s="310">
        <v>-0.69418733199241223</v>
      </c>
      <c r="AN39" s="371">
        <v>11.691750240749533</v>
      </c>
      <c r="AO39" s="310">
        <v>0.18794539599399301</v>
      </c>
      <c r="AP39" s="310">
        <v>5.5653873229797268</v>
      </c>
      <c r="AQ39" s="310">
        <v>4.9886693873984198</v>
      </c>
      <c r="AR39" s="310">
        <v>6.5726360255406707E-2</v>
      </c>
      <c r="AS39" s="310">
        <v>4.7305518685847106E-2</v>
      </c>
      <c r="AT39" s="310">
        <v>0.11051709157555123</v>
      </c>
      <c r="AU39" s="310">
        <v>1.6890312811672505E-2</v>
      </c>
      <c r="AV39" s="310">
        <v>0.31953193461060203</v>
      </c>
      <c r="AW39" s="310">
        <v>0.65918523624826908</v>
      </c>
      <c r="AX39" s="310">
        <v>5.5058796815930643E-2</v>
      </c>
      <c r="AY39" s="310">
        <v>5.2922449387922343E-2</v>
      </c>
      <c r="AZ39" s="310">
        <v>1.6266904125682401E-2</v>
      </c>
      <c r="BA39" s="310">
        <v>3.4759360859323513E-3</v>
      </c>
      <c r="BB39" s="310">
        <v>1.8829289131918052E-2</v>
      </c>
      <c r="BC39" s="310">
        <v>1.3101893020302975</v>
      </c>
      <c r="BD39" s="310"/>
      <c r="BE39" s="310"/>
      <c r="BF39" s="310">
        <v>3.0309404394394503E-3</v>
      </c>
      <c r="BG39" s="310">
        <v>8.2063049571945226E-3</v>
      </c>
      <c r="BH39" s="310">
        <v>7.8383924392729024E-3</v>
      </c>
      <c r="BI39" s="310">
        <v>1.8663547736837765E-3</v>
      </c>
      <c r="BJ39" s="310">
        <v>7.5885446650116985E-3</v>
      </c>
      <c r="BK39" s="310">
        <v>9.7485138812413163E-3</v>
      </c>
      <c r="BL39" s="310"/>
      <c r="BM39" s="310"/>
      <c r="BN39" s="307"/>
      <c r="BO39" s="307"/>
      <c r="BP39" s="307"/>
      <c r="BQ39" s="307"/>
      <c r="BR39" s="307"/>
    </row>
    <row r="40" spans="2:70" ht="17">
      <c r="AJ40" s="309"/>
      <c r="AK40" s="307"/>
      <c r="AL40" s="307"/>
      <c r="AM40" s="307"/>
      <c r="AN40" s="370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8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</row>
    <row r="41" spans="2:70" ht="17">
      <c r="AJ41" s="315" t="s">
        <v>691</v>
      </c>
      <c r="AK41" s="452" t="s">
        <v>293</v>
      </c>
      <c r="AL41" s="339">
        <v>37.779260283152134</v>
      </c>
      <c r="AM41" s="339">
        <v>27.921387936739364</v>
      </c>
      <c r="AN41" s="342">
        <v>937000</v>
      </c>
      <c r="AO41" s="339">
        <v>4338.697908529969</v>
      </c>
      <c r="AP41" s="339">
        <v>51109.367185864918</v>
      </c>
      <c r="AQ41" s="339">
        <v>50153.040077890197</v>
      </c>
      <c r="AR41" s="339">
        <v>151.96184348605917</v>
      </c>
      <c r="AS41" s="493" t="s">
        <v>690</v>
      </c>
      <c r="AT41" s="493"/>
      <c r="AU41" s="339"/>
      <c r="AV41" s="339"/>
      <c r="AW41" s="339"/>
      <c r="AX41" s="340"/>
      <c r="AY41" s="340">
        <v>5.2670194858669692</v>
      </c>
      <c r="AZ41" s="339">
        <v>20.103112949748308</v>
      </c>
      <c r="BA41" s="340">
        <v>2.3643436375827438</v>
      </c>
      <c r="BB41" s="340">
        <v>1.6672434634765416</v>
      </c>
      <c r="BC41" s="493" t="s">
        <v>685</v>
      </c>
      <c r="BD41" s="338"/>
      <c r="BE41" s="338"/>
      <c r="BF41" s="340">
        <v>2.7552293097275387</v>
      </c>
      <c r="BG41" s="340">
        <v>1.0192479537068271</v>
      </c>
      <c r="BH41" s="340">
        <v>8.7684583124326458</v>
      </c>
      <c r="BI41" s="339">
        <v>15.120203745853912</v>
      </c>
      <c r="BJ41" s="339">
        <v>29.070330148991964</v>
      </c>
      <c r="BK41" s="341" t="s">
        <v>120</v>
      </c>
      <c r="BL41" s="338"/>
      <c r="BM41" s="338"/>
      <c r="BN41" s="336"/>
      <c r="BO41" s="313">
        <v>46.903999328613196</v>
      </c>
      <c r="BP41" s="337">
        <v>1.1121160918248212</v>
      </c>
      <c r="BQ41" s="336"/>
      <c r="BR41" s="336" t="s">
        <v>328</v>
      </c>
    </row>
    <row r="42" spans="2:70" ht="18" thickBot="1">
      <c r="AJ42" s="315" t="s">
        <v>689</v>
      </c>
      <c r="AK42" s="452" t="s">
        <v>191</v>
      </c>
      <c r="AL42" s="339">
        <v>44.738194513421917</v>
      </c>
      <c r="AM42" s="339">
        <v>15.568516983838864</v>
      </c>
      <c r="AN42" s="342">
        <v>937000</v>
      </c>
      <c r="AO42" s="339">
        <v>4700.7728675421586</v>
      </c>
      <c r="AP42" s="339">
        <v>55106.926756077752</v>
      </c>
      <c r="AQ42" s="339">
        <v>54943.735847289114</v>
      </c>
      <c r="AR42" s="339">
        <v>167.81846309002199</v>
      </c>
      <c r="AS42" s="493" t="s">
        <v>688</v>
      </c>
      <c r="AT42" s="493"/>
      <c r="AU42" s="339"/>
      <c r="AV42" s="339"/>
      <c r="AW42" s="339"/>
      <c r="AX42" s="340"/>
      <c r="AY42" s="340">
        <v>6.1155415277034422</v>
      </c>
      <c r="AZ42" s="339">
        <v>23.753430239955488</v>
      </c>
      <c r="BA42" s="340">
        <v>2.6210901939140405</v>
      </c>
      <c r="BB42" s="340">
        <v>1.5025646244717226</v>
      </c>
      <c r="BC42" s="493" t="s">
        <v>600</v>
      </c>
      <c r="BD42" s="338"/>
      <c r="BE42" s="338"/>
      <c r="BF42" s="340">
        <v>2.8220084652657795</v>
      </c>
      <c r="BG42" s="340">
        <v>1.1116903495271135</v>
      </c>
      <c r="BH42" s="340">
        <v>9.6316913214085709</v>
      </c>
      <c r="BI42" s="339">
        <v>16.323343258658646</v>
      </c>
      <c r="BJ42" s="339">
        <v>32.697796677911555</v>
      </c>
      <c r="BK42" s="338">
        <v>0.28979053294432078</v>
      </c>
      <c r="BL42" s="338"/>
      <c r="BM42" s="338"/>
      <c r="BN42" s="336"/>
      <c r="BO42" s="313">
        <v>39.194000244140597</v>
      </c>
      <c r="BP42" s="337">
        <v>1.0764455162698177</v>
      </c>
      <c r="BQ42" s="336"/>
      <c r="BR42" s="336" t="s">
        <v>324</v>
      </c>
    </row>
    <row r="43" spans="2:70" ht="17">
      <c r="AJ43" s="335" t="s">
        <v>43</v>
      </c>
      <c r="AK43" s="479" t="s">
        <v>213</v>
      </c>
      <c r="AL43" s="332">
        <v>190.50767589226788</v>
      </c>
      <c r="AM43" s="332">
        <v>12.972154141723243</v>
      </c>
      <c r="AN43" s="334">
        <v>830000</v>
      </c>
      <c r="AO43" s="332">
        <v>7826.915752510432</v>
      </c>
      <c r="AP43" s="332">
        <v>160570.05002322662</v>
      </c>
      <c r="AQ43" s="332">
        <v>160948.42868583716</v>
      </c>
      <c r="AR43" s="333">
        <v>2.5473887326961799</v>
      </c>
      <c r="AS43" s="507" t="s">
        <v>687</v>
      </c>
      <c r="AT43" s="507"/>
      <c r="AU43" s="331"/>
      <c r="AV43" s="331"/>
      <c r="AW43" s="331"/>
      <c r="AX43" s="331"/>
      <c r="AY43" s="332">
        <v>24.129984342582585</v>
      </c>
      <c r="AZ43" s="332">
        <v>28.798242606906619</v>
      </c>
      <c r="BA43" s="333">
        <v>3.5153263054860635</v>
      </c>
      <c r="BB43" s="333">
        <v>5.7799357552325175</v>
      </c>
      <c r="BC43" s="498" t="s">
        <v>415</v>
      </c>
      <c r="BD43" s="330"/>
      <c r="BE43" s="330"/>
      <c r="BF43" s="333">
        <v>2.963035802937739</v>
      </c>
      <c r="BG43" s="333">
        <v>2.8134746251644636</v>
      </c>
      <c r="BH43" s="332">
        <v>39.182704607636126</v>
      </c>
      <c r="BI43" s="332">
        <v>27.627055945098725</v>
      </c>
      <c r="BJ43" s="332">
        <v>31.410984456527363</v>
      </c>
      <c r="BK43" s="331" t="s">
        <v>179</v>
      </c>
      <c r="BL43" s="330"/>
      <c r="BM43" s="330"/>
      <c r="BN43" s="327"/>
      <c r="BO43" s="329">
        <v>46.905000686645494</v>
      </c>
      <c r="BP43" s="328">
        <v>0.98754066766414472</v>
      </c>
      <c r="BQ43" s="327"/>
      <c r="BR43" s="326" t="s">
        <v>321</v>
      </c>
    </row>
    <row r="44" spans="2:70" ht="18" thickBot="1">
      <c r="AJ44" s="325" t="s">
        <v>45</v>
      </c>
      <c r="AK44" s="322">
        <v>0.82649231346985996</v>
      </c>
      <c r="AL44" s="321">
        <v>193.48948815316766</v>
      </c>
      <c r="AM44" s="322">
        <v>6.8902867186975936</v>
      </c>
      <c r="AN44" s="324">
        <v>830000</v>
      </c>
      <c r="AO44" s="321">
        <v>7953.1525295677575</v>
      </c>
      <c r="AP44" s="321">
        <v>159428.7352081126</v>
      </c>
      <c r="AQ44" s="321">
        <v>159052.16725398035</v>
      </c>
      <c r="AR44" s="322">
        <v>1.7479258478042401</v>
      </c>
      <c r="AS44" s="506" t="s">
        <v>686</v>
      </c>
      <c r="AT44" s="506"/>
      <c r="AU44" s="323"/>
      <c r="AV44" s="321"/>
      <c r="AW44" s="323"/>
      <c r="AX44" s="323"/>
      <c r="AY44" s="321">
        <v>25.072395722288761</v>
      </c>
      <c r="AZ44" s="321">
        <v>29.502836020756892</v>
      </c>
      <c r="BA44" s="322">
        <v>3.6448468177925513</v>
      </c>
      <c r="BB44" s="322">
        <v>6.61893933351468</v>
      </c>
      <c r="BC44" s="505" t="s">
        <v>685</v>
      </c>
      <c r="BD44" s="320"/>
      <c r="BE44" s="320"/>
      <c r="BF44" s="322">
        <v>3.2373877797748429</v>
      </c>
      <c r="BG44" s="322">
        <v>2.645625702393076</v>
      </c>
      <c r="BH44" s="321">
        <v>39.257526216782871</v>
      </c>
      <c r="BI44" s="321">
        <v>27.572874361099373</v>
      </c>
      <c r="BJ44" s="321">
        <v>30.187348147622043</v>
      </c>
      <c r="BK44" s="320">
        <v>8.6282088721768763E-2</v>
      </c>
      <c r="BL44" s="320"/>
      <c r="BM44" s="320"/>
      <c r="BN44" s="317"/>
      <c r="BO44" s="319">
        <v>48.189996719360394</v>
      </c>
      <c r="BP44" s="318">
        <v>1.0036045359065917</v>
      </c>
      <c r="BQ44" s="317"/>
      <c r="BR44" s="316" t="s">
        <v>318</v>
      </c>
    </row>
    <row r="45" spans="2:70" ht="17">
      <c r="B45" s="1375" t="s">
        <v>483</v>
      </c>
      <c r="C45" s="1405">
        <f>(E37/32.06)/((E37/32.06)+(E36/58.69)+(E35/55.847))</f>
        <v>0.43075927855961771</v>
      </c>
      <c r="D45" s="1399" t="s">
        <v>1413</v>
      </c>
      <c r="E45" s="1403">
        <f>2*(C45^2)*SQRT(((((F37*32.06)/E37^2)^2)*((E35/55.845)^2 + (E36/58.693)^2)^2) + (((F35/55.845)^2 + (F36/58.693)^2)*(32.06/E37)^2))</f>
        <v>1.6853104140628218E-2</v>
      </c>
      <c r="AJ45" s="976" t="s">
        <v>684</v>
      </c>
      <c r="AK45" s="978">
        <v>0.59618709083167043</v>
      </c>
      <c r="AL45" s="977" t="s">
        <v>683</v>
      </c>
      <c r="AM45" s="977" t="s">
        <v>682</v>
      </c>
      <c r="AN45" s="1032">
        <v>489800</v>
      </c>
      <c r="AO45" s="979">
        <v>241.15864357741356</v>
      </c>
      <c r="AP45" s="979">
        <v>7265.487061951545</v>
      </c>
      <c r="AQ45" s="979">
        <v>166396.73588933382</v>
      </c>
      <c r="AR45" s="979">
        <v>1015.8081141642102</v>
      </c>
      <c r="AS45" s="1060">
        <v>49.227485771405988</v>
      </c>
      <c r="AT45" s="1060"/>
      <c r="AU45" s="979"/>
      <c r="AV45" s="980"/>
      <c r="AW45" s="980"/>
      <c r="AX45" s="979"/>
      <c r="AY45" s="979">
        <v>125.17514076746522</v>
      </c>
      <c r="AZ45" s="980">
        <v>2.830089650830681</v>
      </c>
      <c r="BA45" s="980">
        <v>2.5354817878308813</v>
      </c>
      <c r="BB45" s="979">
        <v>25.354524326158515</v>
      </c>
      <c r="BC45" s="1060">
        <v>19101.443393584308</v>
      </c>
      <c r="BD45" s="978"/>
      <c r="BE45" s="978"/>
      <c r="BF45" s="980">
        <v>1.9755700729860066</v>
      </c>
      <c r="BG45" s="978">
        <v>8.7265821787137127E-2</v>
      </c>
      <c r="BH45" s="978">
        <v>5.7809657965230424E-2</v>
      </c>
      <c r="BI45" s="978">
        <v>8.702345954260704E-2</v>
      </c>
      <c r="BJ45" s="978">
        <v>0.393090245189474</v>
      </c>
      <c r="BK45" s="979">
        <v>10.069089592635102</v>
      </c>
      <c r="BL45" s="978"/>
      <c r="BM45" s="978"/>
      <c r="BN45" s="983"/>
      <c r="BO45" s="984">
        <v>44.976997375488295</v>
      </c>
      <c r="BP45" s="985">
        <v>7.2601561986942595</v>
      </c>
      <c r="BQ45" s="983"/>
      <c r="BR45" s="983" t="s">
        <v>681</v>
      </c>
    </row>
    <row r="46" spans="2:70" ht="17">
      <c r="B46" s="1399" t="s">
        <v>1404</v>
      </c>
      <c r="C46" s="1405">
        <f>((E37-F37)/32.06)/(((E37-F37)/32.06)+((E36+F36)/58.69)+((E35+F35)/55.847))</f>
        <v>0.41441162201422732</v>
      </c>
      <c r="D46" s="1401" t="s">
        <v>1414</v>
      </c>
      <c r="E46" s="1403">
        <f>C45-C46</f>
        <v>1.6347656545390388E-2</v>
      </c>
      <c r="AJ46" s="976" t="s">
        <v>680</v>
      </c>
      <c r="AK46" s="978">
        <v>0.44183023114014497</v>
      </c>
      <c r="AL46" s="977" t="s">
        <v>463</v>
      </c>
      <c r="AM46" s="977" t="s">
        <v>679</v>
      </c>
      <c r="AN46" s="1032">
        <v>489800</v>
      </c>
      <c r="AO46" s="979">
        <v>277.84895764053834</v>
      </c>
      <c r="AP46" s="979">
        <v>12311.200426521142</v>
      </c>
      <c r="AQ46" s="979">
        <v>196638.90041802888</v>
      </c>
      <c r="AR46" s="979">
        <v>1365.0815705518278</v>
      </c>
      <c r="AS46" s="1060">
        <v>51.013517931760475</v>
      </c>
      <c r="AT46" s="1060"/>
      <c r="AU46" s="979"/>
      <c r="AV46" s="980"/>
      <c r="AW46" s="980"/>
      <c r="AX46" s="979"/>
      <c r="AY46" s="979">
        <v>134.44503784255625</v>
      </c>
      <c r="AZ46" s="980">
        <v>3.8369529625508814</v>
      </c>
      <c r="BA46" s="980">
        <v>3.9237545827627156</v>
      </c>
      <c r="BB46" s="979">
        <v>39.240309082270485</v>
      </c>
      <c r="BC46" s="1060">
        <v>4307.766160502556</v>
      </c>
      <c r="BD46" s="978"/>
      <c r="BE46" s="978"/>
      <c r="BF46" s="980">
        <v>1.3414198787019109</v>
      </c>
      <c r="BG46" s="978">
        <v>0.10915671346116014</v>
      </c>
      <c r="BH46" s="978">
        <v>5.3503041979710314E-2</v>
      </c>
      <c r="BI46" s="978">
        <v>9.0147040255463981E-2</v>
      </c>
      <c r="BJ46" s="978">
        <v>0.50415471465495332</v>
      </c>
      <c r="BK46" s="979">
        <v>16.034996577025332</v>
      </c>
      <c r="BL46" s="978"/>
      <c r="BM46" s="978"/>
      <c r="BN46" s="983"/>
      <c r="BO46" s="984">
        <v>48.189996719360394</v>
      </c>
      <c r="BP46" s="985">
        <v>6.5878600268247496</v>
      </c>
      <c r="BQ46" s="983"/>
      <c r="BR46" s="983" t="s">
        <v>678</v>
      </c>
    </row>
    <row r="47" spans="2:70" ht="17">
      <c r="B47" s="1399" t="s">
        <v>1403</v>
      </c>
      <c r="C47" s="1405">
        <f>((E37+F37)/32.06)/(((E37+F37)/32.06)+((E36-F36)/58.69)+((E35-F35)/55.847))</f>
        <v>0.4473501202944003</v>
      </c>
      <c r="D47" s="1401" t="s">
        <v>1415</v>
      </c>
      <c r="E47" s="1403">
        <f>C47-C45</f>
        <v>1.6590841734782591E-2</v>
      </c>
      <c r="AJ47" s="976" t="s">
        <v>677</v>
      </c>
      <c r="AK47" s="978">
        <v>0.57502468982672539</v>
      </c>
      <c r="AL47" s="977" t="s">
        <v>193</v>
      </c>
      <c r="AM47" s="977" t="s">
        <v>676</v>
      </c>
      <c r="AN47" s="1032">
        <v>489800</v>
      </c>
      <c r="AO47" s="979">
        <v>262.19381521951902</v>
      </c>
      <c r="AP47" s="979">
        <v>15837.171643095893</v>
      </c>
      <c r="AQ47" s="979">
        <v>194549.56834530336</v>
      </c>
      <c r="AR47" s="979">
        <v>1230.8801252846529</v>
      </c>
      <c r="AS47" s="1060">
        <v>59.659944583378469</v>
      </c>
      <c r="AT47" s="1060"/>
      <c r="AU47" s="979"/>
      <c r="AV47" s="980"/>
      <c r="AW47" s="980"/>
      <c r="AX47" s="979"/>
      <c r="AY47" s="979">
        <v>138.52311555089588</v>
      </c>
      <c r="AZ47" s="980">
        <v>3.0233746027721855</v>
      </c>
      <c r="BA47" s="980">
        <v>2.5491468392693442</v>
      </c>
      <c r="BB47" s="979">
        <v>33.874675402376582</v>
      </c>
      <c r="BC47" s="1060">
        <v>2453.2736048236197</v>
      </c>
      <c r="BD47" s="978"/>
      <c r="BE47" s="978"/>
      <c r="BF47" s="980">
        <v>1.8404664258348744</v>
      </c>
      <c r="BG47" s="978">
        <v>0.12897632844822146</v>
      </c>
      <c r="BH47" s="978">
        <v>7.6706716740076272E-2</v>
      </c>
      <c r="BI47" s="978">
        <v>0.12256547336816212</v>
      </c>
      <c r="BJ47" s="978">
        <v>0.44836011431858269</v>
      </c>
      <c r="BK47" s="979">
        <v>13.270732329960619</v>
      </c>
      <c r="BL47" s="978"/>
      <c r="BM47" s="978"/>
      <c r="BN47" s="983"/>
      <c r="BO47" s="984">
        <v>46.261997222900398</v>
      </c>
      <c r="BP47" s="985">
        <v>6.9478177114887503</v>
      </c>
      <c r="BQ47" s="983"/>
      <c r="BR47" s="983" t="s">
        <v>675</v>
      </c>
    </row>
    <row r="48" spans="2:70" ht="17">
      <c r="AJ48" s="988" t="s">
        <v>674</v>
      </c>
      <c r="AK48" s="989" t="s">
        <v>673</v>
      </c>
      <c r="AL48" s="989" t="s">
        <v>672</v>
      </c>
      <c r="AM48" s="989">
        <v>82.580744195755116</v>
      </c>
      <c r="AN48" s="1004">
        <v>551500</v>
      </c>
      <c r="AO48" s="991">
        <v>968.7465835321417</v>
      </c>
      <c r="AP48" s="991">
        <v>416885.52818836481</v>
      </c>
      <c r="AQ48" s="991">
        <v>413244.68330081162</v>
      </c>
      <c r="AR48" s="991">
        <v>300.65623113430433</v>
      </c>
      <c r="AS48" s="1056">
        <v>42.771335862949428</v>
      </c>
      <c r="AT48" s="1056"/>
      <c r="AU48" s="991"/>
      <c r="AV48" s="991"/>
      <c r="AW48" s="991"/>
      <c r="AX48" s="991"/>
      <c r="AY48" s="991">
        <v>233.99377159847199</v>
      </c>
      <c r="AZ48" s="991">
        <v>220.5696727299804</v>
      </c>
      <c r="BA48" s="991">
        <v>275.47859670291035</v>
      </c>
      <c r="BB48" s="991">
        <v>210.37474943623826</v>
      </c>
      <c r="BC48" s="1057" t="s">
        <v>671</v>
      </c>
      <c r="BD48" s="990"/>
      <c r="BE48" s="990"/>
      <c r="BF48" s="991">
        <v>113.14476755254088</v>
      </c>
      <c r="BG48" s="1002">
        <v>7.2218293910239764</v>
      </c>
      <c r="BH48" s="991">
        <v>44.860029002575253</v>
      </c>
      <c r="BI48" s="991">
        <v>179.03097130428552</v>
      </c>
      <c r="BJ48" s="991">
        <v>94.410255760312197</v>
      </c>
      <c r="BK48" s="991">
        <v>252.60589454298821</v>
      </c>
      <c r="BL48" s="990"/>
      <c r="BM48" s="990"/>
      <c r="BN48" s="994"/>
      <c r="BO48" s="995">
        <v>46.904996871948299</v>
      </c>
      <c r="BP48" s="996">
        <v>0.21669887840197929</v>
      </c>
      <c r="BQ48" s="994"/>
      <c r="BR48" s="994" t="s">
        <v>670</v>
      </c>
    </row>
    <row r="49" spans="36:70" ht="17">
      <c r="AJ49" s="988" t="s">
        <v>663</v>
      </c>
      <c r="AK49" s="997" t="s">
        <v>662</v>
      </c>
      <c r="AL49" s="998" t="s">
        <v>661</v>
      </c>
      <c r="AM49" s="991">
        <v>183.46686656247334</v>
      </c>
      <c r="AN49" s="1004">
        <v>551500</v>
      </c>
      <c r="AO49" s="991">
        <v>881.77540866607728</v>
      </c>
      <c r="AP49" s="991">
        <v>391233.50064340909</v>
      </c>
      <c r="AQ49" s="991">
        <v>399765.10503107426</v>
      </c>
      <c r="AR49" s="991">
        <v>355.27862561148328</v>
      </c>
      <c r="AS49" s="1056">
        <v>55.829508200321534</v>
      </c>
      <c r="AT49" s="1057"/>
      <c r="AU49" s="991"/>
      <c r="AV49" s="991"/>
      <c r="AW49" s="991"/>
      <c r="AX49" s="991"/>
      <c r="AY49" s="991">
        <v>205.67342256384609</v>
      </c>
      <c r="AZ49" s="991">
        <v>371.06443748234938</v>
      </c>
      <c r="BA49" s="991">
        <v>185.12390235425158</v>
      </c>
      <c r="BB49" s="991">
        <v>211.28284691622241</v>
      </c>
      <c r="BC49" s="1057" t="s">
        <v>660</v>
      </c>
      <c r="BD49" s="990"/>
      <c r="BE49" s="990"/>
      <c r="BF49" s="991">
        <v>84.84841797469295</v>
      </c>
      <c r="BG49" s="991">
        <v>116.8558006982343</v>
      </c>
      <c r="BH49" s="991">
        <v>705.1852485325295</v>
      </c>
      <c r="BI49" s="991">
        <v>29.423442346598272</v>
      </c>
      <c r="BJ49" s="991">
        <v>757.62507179579188</v>
      </c>
      <c r="BK49" s="991">
        <v>265.85850053761823</v>
      </c>
      <c r="BL49" s="990"/>
      <c r="BM49" s="990"/>
      <c r="BN49" s="994"/>
      <c r="BO49" s="995">
        <v>44.976999282836893</v>
      </c>
      <c r="BP49" s="996">
        <v>0.16495699865446478</v>
      </c>
      <c r="BQ49" s="994"/>
      <c r="BR49" s="994" t="s">
        <v>659</v>
      </c>
    </row>
    <row r="50" spans="36:70" ht="17">
      <c r="AJ50" s="988" t="s">
        <v>658</v>
      </c>
      <c r="AK50" s="997" t="s">
        <v>187</v>
      </c>
      <c r="AL50" s="997" t="s">
        <v>657</v>
      </c>
      <c r="AM50" s="991">
        <v>244.20569234421524</v>
      </c>
      <c r="AN50" s="1004">
        <v>551500</v>
      </c>
      <c r="AO50" s="991">
        <v>846.10217332650848</v>
      </c>
      <c r="AP50" s="991">
        <v>377827.2770821742</v>
      </c>
      <c r="AQ50" s="991">
        <v>379416.09481399198</v>
      </c>
      <c r="AR50" s="991">
        <v>293.9805841374876</v>
      </c>
      <c r="AS50" s="1056">
        <v>70.41797339428318</v>
      </c>
      <c r="AT50" s="1057"/>
      <c r="AU50" s="991"/>
      <c r="AV50" s="991"/>
      <c r="AW50" s="991"/>
      <c r="AX50" s="991"/>
      <c r="AY50" s="991">
        <v>197.48614487999095</v>
      </c>
      <c r="AZ50" s="991">
        <v>172.64883810256327</v>
      </c>
      <c r="BA50" s="991">
        <v>192.76418508894346</v>
      </c>
      <c r="BB50" s="991">
        <v>187.69628109801647</v>
      </c>
      <c r="BC50" s="1058" t="s">
        <v>656</v>
      </c>
      <c r="BD50" s="990"/>
      <c r="BE50" s="990"/>
      <c r="BF50" s="991">
        <v>74.420812195663359</v>
      </c>
      <c r="BG50" s="991">
        <v>9233.5441805922201</v>
      </c>
      <c r="BH50" s="991">
        <v>44.997879683873016</v>
      </c>
      <c r="BI50" s="991">
        <v>16.943076846712227</v>
      </c>
      <c r="BJ50" s="991">
        <v>103.16319910772565</v>
      </c>
      <c r="BK50" s="991">
        <v>259.09179381645782</v>
      </c>
      <c r="BL50" s="990"/>
      <c r="BM50" s="990"/>
      <c r="BN50" s="994"/>
      <c r="BO50" s="995">
        <v>45.619997024536197</v>
      </c>
      <c r="BP50" s="996">
        <v>0.18750222945326689</v>
      </c>
      <c r="BQ50" s="994"/>
      <c r="BR50" s="994" t="s">
        <v>655</v>
      </c>
    </row>
    <row r="51" spans="36:70" ht="17">
      <c r="AJ51" s="481" t="s">
        <v>669</v>
      </c>
      <c r="AK51" s="468">
        <v>1.1797556982272179</v>
      </c>
      <c r="AL51" s="468">
        <v>8.050907937451667</v>
      </c>
      <c r="AM51" s="504" t="s">
        <v>668</v>
      </c>
      <c r="AN51" s="472">
        <v>621500</v>
      </c>
      <c r="AO51" s="471">
        <v>122.21024374642924</v>
      </c>
      <c r="AP51" s="471">
        <v>17642.706677809125</v>
      </c>
      <c r="AQ51" s="471">
        <v>17630.361818756995</v>
      </c>
      <c r="AR51" s="471">
        <v>236.16126894012993</v>
      </c>
      <c r="AS51" s="502">
        <v>92.12188837235864</v>
      </c>
      <c r="AT51" s="502"/>
      <c r="AU51" s="480"/>
      <c r="AV51" s="468"/>
      <c r="AW51" s="480"/>
      <c r="AX51" s="480"/>
      <c r="AY51" s="471">
        <v>269.13800532009031</v>
      </c>
      <c r="AZ51" s="468">
        <v>1.4492347998928601</v>
      </c>
      <c r="BA51" s="469">
        <v>0.166832351331655</v>
      </c>
      <c r="BB51" s="469">
        <v>0.16154855886729766</v>
      </c>
      <c r="BC51" s="501">
        <v>9.3130836350245279</v>
      </c>
      <c r="BD51" s="469"/>
      <c r="BE51" s="469"/>
      <c r="BF51" s="469">
        <v>0.32873544413606415</v>
      </c>
      <c r="BG51" s="469">
        <v>7.2032088874288197E-3</v>
      </c>
      <c r="BH51" s="473">
        <v>3.807853646227162E-3</v>
      </c>
      <c r="BI51" s="469">
        <v>1.8675299589381682E-2</v>
      </c>
      <c r="BJ51" s="469">
        <v>6.0834657463195857E-3</v>
      </c>
      <c r="BK51" s="469">
        <v>0.32758858524325973</v>
      </c>
      <c r="BL51" s="469"/>
      <c r="BM51" s="469"/>
      <c r="BN51" s="465"/>
      <c r="BO51" s="467">
        <v>50.116996765136797</v>
      </c>
      <c r="BP51" s="466">
        <v>5.3510695321679611</v>
      </c>
      <c r="BQ51" s="465"/>
      <c r="BR51" s="465" t="s">
        <v>667</v>
      </c>
    </row>
    <row r="52" spans="36:70" ht="17">
      <c r="AJ52" s="481" t="s">
        <v>666</v>
      </c>
      <c r="AK52" s="468">
        <v>0.95551789928409125</v>
      </c>
      <c r="AL52" s="471">
        <v>10.219286591960277</v>
      </c>
      <c r="AM52" s="504" t="s">
        <v>665</v>
      </c>
      <c r="AN52" s="472">
        <v>621500</v>
      </c>
      <c r="AO52" s="471">
        <v>123.83365281026433</v>
      </c>
      <c r="AP52" s="471">
        <v>18189.192411456846</v>
      </c>
      <c r="AQ52" s="471">
        <v>17717.573045347108</v>
      </c>
      <c r="AR52" s="471">
        <v>238.39277834317235</v>
      </c>
      <c r="AS52" s="502">
        <v>109.21784062022498</v>
      </c>
      <c r="AT52" s="502"/>
      <c r="AU52" s="469"/>
      <c r="AV52" s="468"/>
      <c r="AW52" s="468"/>
      <c r="AX52" s="480"/>
      <c r="AY52" s="471">
        <v>256.8107080585342</v>
      </c>
      <c r="AZ52" s="469">
        <v>0.42451191190967147</v>
      </c>
      <c r="BA52" s="469">
        <v>9.401175214763284E-2</v>
      </c>
      <c r="BB52" s="469">
        <v>0.13066311862804567</v>
      </c>
      <c r="BC52" s="501">
        <v>7.108119374355673</v>
      </c>
      <c r="BD52" s="469"/>
      <c r="BE52" s="469"/>
      <c r="BF52" s="469">
        <v>0.31559223021475863</v>
      </c>
      <c r="BG52" s="471"/>
      <c r="BH52" s="473">
        <v>2.0198360573166984E-3</v>
      </c>
      <c r="BI52" s="471"/>
      <c r="BJ52" s="471"/>
      <c r="BK52" s="469">
        <v>0.27522147788215678</v>
      </c>
      <c r="BL52" s="469"/>
      <c r="BM52" s="469"/>
      <c r="BN52" s="465"/>
      <c r="BO52" s="467">
        <v>44.976997375488295</v>
      </c>
      <c r="BP52" s="466">
        <v>5.6203067855903219</v>
      </c>
      <c r="BQ52" s="465"/>
      <c r="BR52" s="465" t="s">
        <v>664</v>
      </c>
    </row>
    <row r="53" spans="36:70" ht="18" thickBot="1">
      <c r="AJ53" s="481" t="s">
        <v>654</v>
      </c>
      <c r="AK53" s="468">
        <v>1.8907032228653511</v>
      </c>
      <c r="AL53" s="471">
        <v>19.300946772029182</v>
      </c>
      <c r="AM53" s="503" t="s">
        <v>653</v>
      </c>
      <c r="AN53" s="472">
        <v>621500</v>
      </c>
      <c r="AO53" s="471">
        <v>119.41753756026455</v>
      </c>
      <c r="AP53" s="471">
        <v>17068.634153056984</v>
      </c>
      <c r="AQ53" s="471">
        <v>17307.565462831357</v>
      </c>
      <c r="AR53" s="471">
        <v>247.19595863105184</v>
      </c>
      <c r="AS53" s="502">
        <v>334.68169754535108</v>
      </c>
      <c r="AT53" s="502"/>
      <c r="AU53" s="468"/>
      <c r="AV53" s="468"/>
      <c r="AW53" s="480"/>
      <c r="AX53" s="480"/>
      <c r="AY53" s="471">
        <v>273.3399260803929</v>
      </c>
      <c r="AZ53" s="469">
        <v>0.84689588232100266</v>
      </c>
      <c r="BA53" s="469">
        <v>0.11417614129986126</v>
      </c>
      <c r="BB53" s="480" t="s">
        <v>211</v>
      </c>
      <c r="BC53" s="501">
        <v>4.3178234765088366</v>
      </c>
      <c r="BD53" s="469"/>
      <c r="BE53" s="469"/>
      <c r="BF53" s="469">
        <v>0.77287999896377513</v>
      </c>
      <c r="BG53" s="480" t="s">
        <v>179</v>
      </c>
      <c r="BH53" s="469">
        <v>1.1485179270278732E-2</v>
      </c>
      <c r="BI53" s="473">
        <v>1.082412092444443E-3</v>
      </c>
      <c r="BJ53" s="469">
        <v>2.1196325296524824E-2</v>
      </c>
      <c r="BK53" s="469">
        <v>0.36741460436754597</v>
      </c>
      <c r="BL53" s="469"/>
      <c r="BM53" s="469"/>
      <c r="BN53" s="465"/>
      <c r="BO53" s="467">
        <v>22.489000320434599</v>
      </c>
      <c r="BP53" s="466">
        <v>5.9829745328618982</v>
      </c>
      <c r="BQ53" s="465"/>
      <c r="BR53" s="465" t="s">
        <v>652</v>
      </c>
    </row>
    <row r="54" spans="36:70" ht="17">
      <c r="AJ54" s="335" t="s">
        <v>195</v>
      </c>
      <c r="AK54" s="330">
        <v>0.81773384961902784</v>
      </c>
      <c r="AL54" s="332">
        <v>195.73564722940847</v>
      </c>
      <c r="AM54" s="479">
        <v>-11.950286448417405</v>
      </c>
      <c r="AN54" s="334">
        <v>830000</v>
      </c>
      <c r="AO54" s="332">
        <v>8136.263037478805</v>
      </c>
      <c r="AP54" s="332">
        <v>163930.81536098919</v>
      </c>
      <c r="AQ54" s="332">
        <v>162177.20750490189</v>
      </c>
      <c r="AR54" s="333">
        <v>2.6404136735022354</v>
      </c>
      <c r="AS54" s="500">
        <v>4.0425474193140642</v>
      </c>
      <c r="AT54" s="499"/>
      <c r="AU54" s="331"/>
      <c r="AV54" s="331"/>
      <c r="AW54" s="331"/>
      <c r="AX54" s="331"/>
      <c r="AY54" s="332">
        <v>24.44657501143999</v>
      </c>
      <c r="AZ54" s="332">
        <v>30.180371157638508</v>
      </c>
      <c r="BA54" s="333">
        <v>3.8245206666661291</v>
      </c>
      <c r="BB54" s="333">
        <v>6.0857363588296236</v>
      </c>
      <c r="BC54" s="498" t="s">
        <v>651</v>
      </c>
      <c r="BD54" s="330"/>
      <c r="BE54" s="330"/>
      <c r="BF54" s="333">
        <v>3.1573600544509786</v>
      </c>
      <c r="BG54" s="333">
        <v>2.9634853419029539</v>
      </c>
      <c r="BH54" s="332">
        <v>41.338167244462866</v>
      </c>
      <c r="BI54" s="332">
        <v>28.027529309977854</v>
      </c>
      <c r="BJ54" s="332">
        <v>31.24960937156068</v>
      </c>
      <c r="BK54" s="331" t="s">
        <v>118</v>
      </c>
      <c r="BL54" s="330"/>
      <c r="BM54" s="330"/>
      <c r="BN54" s="327"/>
      <c r="BO54" s="329">
        <v>44.977001190185497</v>
      </c>
      <c r="BP54" s="328">
        <v>0.88155228172758571</v>
      </c>
      <c r="BQ54" s="327"/>
      <c r="BR54" s="326" t="s">
        <v>650</v>
      </c>
    </row>
    <row r="55" spans="36:70" ht="18" thickBot="1">
      <c r="AJ55" s="325" t="s">
        <v>196</v>
      </c>
      <c r="AK55" s="482" t="s">
        <v>189</v>
      </c>
      <c r="AL55" s="321">
        <v>188.27130648865085</v>
      </c>
      <c r="AM55" s="321">
        <v>34.01982383969861</v>
      </c>
      <c r="AN55" s="324">
        <v>830000</v>
      </c>
      <c r="AO55" s="321">
        <v>7643.4671966994911</v>
      </c>
      <c r="AP55" s="321">
        <v>156060.60706051509</v>
      </c>
      <c r="AQ55" s="321">
        <v>157824.15114048985</v>
      </c>
      <c r="AR55" s="322">
        <v>1.6529424067426941</v>
      </c>
      <c r="AS55" s="496">
        <v>4.1821759868601882</v>
      </c>
      <c r="AT55" s="497"/>
      <c r="AU55" s="323"/>
      <c r="AV55" s="323"/>
      <c r="AW55" s="323"/>
      <c r="AX55" s="323"/>
      <c r="AY55" s="321">
        <v>24.75424773005599</v>
      </c>
      <c r="AZ55" s="321">
        <v>28.116359023607174</v>
      </c>
      <c r="BA55" s="322">
        <v>3.3348049241310935</v>
      </c>
      <c r="BB55" s="322">
        <v>6.3110988791830636</v>
      </c>
      <c r="BC55" s="496">
        <v>8.2291174078263613E-2</v>
      </c>
      <c r="BD55" s="320"/>
      <c r="BE55" s="320"/>
      <c r="BF55" s="322">
        <v>3.0424563034604164</v>
      </c>
      <c r="BG55" s="322">
        <v>2.4936597330371559</v>
      </c>
      <c r="BH55" s="321">
        <v>37.087765539251912</v>
      </c>
      <c r="BI55" s="321">
        <v>27.171337296284509</v>
      </c>
      <c r="BJ55" s="321">
        <v>30.349125656658188</v>
      </c>
      <c r="BK55" s="323" t="s">
        <v>185</v>
      </c>
      <c r="BL55" s="320"/>
      <c r="BM55" s="320"/>
      <c r="BN55" s="317"/>
      <c r="BO55" s="319">
        <v>50.116996765136797</v>
      </c>
      <c r="BP55" s="318">
        <v>0.88183534938444896</v>
      </c>
      <c r="BQ55" s="317"/>
      <c r="BR55" s="316" t="s">
        <v>649</v>
      </c>
    </row>
    <row r="56" spans="36:70" ht="17">
      <c r="AJ56" s="315" t="s">
        <v>648</v>
      </c>
      <c r="AK56" s="452" t="s">
        <v>74</v>
      </c>
      <c r="AL56" s="339">
        <v>40.261190361047618</v>
      </c>
      <c r="AM56" s="339">
        <v>33.835309614416758</v>
      </c>
      <c r="AN56" s="342">
        <v>937000</v>
      </c>
      <c r="AO56" s="339">
        <v>4569.4697292084138</v>
      </c>
      <c r="AP56" s="339">
        <v>52665.168264662309</v>
      </c>
      <c r="AQ56" s="339">
        <v>52561.386013841089</v>
      </c>
      <c r="AR56" s="339">
        <v>183.45484327930842</v>
      </c>
      <c r="AS56" s="495" t="s">
        <v>647</v>
      </c>
      <c r="AT56" s="494"/>
      <c r="AU56" s="339"/>
      <c r="AV56" s="339"/>
      <c r="AW56" s="339"/>
      <c r="AX56" s="340"/>
      <c r="AY56" s="340">
        <v>7.0487427140587089</v>
      </c>
      <c r="AZ56" s="339">
        <v>22.943176936804463</v>
      </c>
      <c r="BA56" s="340">
        <v>2.2724815420060902</v>
      </c>
      <c r="BB56" s="340">
        <v>2.0492015278489832</v>
      </c>
      <c r="BC56" s="493" t="s">
        <v>646</v>
      </c>
      <c r="BD56" s="338"/>
      <c r="BE56" s="338"/>
      <c r="BF56" s="340">
        <v>2.9613185666216335</v>
      </c>
      <c r="BG56" s="340">
        <v>1.341037904274504</v>
      </c>
      <c r="BH56" s="340">
        <v>9.4824824538127324</v>
      </c>
      <c r="BI56" s="339">
        <v>15.881707096941449</v>
      </c>
      <c r="BJ56" s="339">
        <v>30.639625717879493</v>
      </c>
      <c r="BK56" s="338">
        <v>0.7427931211389085</v>
      </c>
      <c r="BL56" s="338"/>
      <c r="BM56" s="338"/>
      <c r="BN56" s="336"/>
      <c r="BO56" s="313">
        <v>40.479000091552699</v>
      </c>
      <c r="BP56" s="337">
        <v>0.9174023705952622</v>
      </c>
      <c r="BQ56" s="336"/>
      <c r="BR56" s="336" t="s">
        <v>644</v>
      </c>
    </row>
    <row r="57" spans="36:70" ht="17">
      <c r="AJ57" s="315" t="s">
        <v>645</v>
      </c>
      <c r="AK57" s="452" t="s">
        <v>72</v>
      </c>
      <c r="AL57" s="339">
        <v>38.969136870618279</v>
      </c>
      <c r="AM57" s="339">
        <v>51.480524002844284</v>
      </c>
      <c r="AN57" s="342">
        <v>937000</v>
      </c>
      <c r="AO57" s="339">
        <v>4868.9187532078713</v>
      </c>
      <c r="AP57" s="339">
        <v>63848.603585012628</v>
      </c>
      <c r="AQ57" s="339">
        <v>62107.772430702717</v>
      </c>
      <c r="AR57" s="339">
        <v>220.82589647009328</v>
      </c>
      <c r="AS57" s="495" t="s">
        <v>628</v>
      </c>
      <c r="AT57" s="494"/>
      <c r="AU57" s="339"/>
      <c r="AV57" s="339"/>
      <c r="AW57" s="339"/>
      <c r="AX57" s="340"/>
      <c r="AY57" s="340">
        <v>8.429405560792679</v>
      </c>
      <c r="AZ57" s="340">
        <v>23.507324166712738</v>
      </c>
      <c r="BA57" s="340">
        <v>2.6345862076869206</v>
      </c>
      <c r="BB57" s="340">
        <v>2.3035828578368656</v>
      </c>
      <c r="BC57" s="493" t="s">
        <v>455</v>
      </c>
      <c r="BD57" s="338"/>
      <c r="BE57" s="338"/>
      <c r="BF57" s="340">
        <v>3.4028357537246481</v>
      </c>
      <c r="BG57" s="340">
        <v>1.3909094152941945</v>
      </c>
      <c r="BH57" s="340">
        <v>10.277766042132477</v>
      </c>
      <c r="BI57" s="339">
        <v>16.811559863878998</v>
      </c>
      <c r="BJ57" s="339">
        <v>32.34121705243507</v>
      </c>
      <c r="BK57" s="338">
        <v>0.78164494607779411</v>
      </c>
      <c r="BL57" s="338"/>
      <c r="BM57" s="338"/>
      <c r="BN57" s="336"/>
      <c r="BO57" s="313">
        <v>41.763996124267599</v>
      </c>
      <c r="BP57" s="337">
        <v>0.89403602131009874</v>
      </c>
      <c r="BQ57" s="336"/>
      <c r="BR57" s="336" t="s">
        <v>644</v>
      </c>
    </row>
    <row r="58" spans="36:70" ht="17">
      <c r="AJ58" s="309"/>
      <c r="AK58" s="307"/>
      <c r="AL58" s="307"/>
      <c r="AM58" s="307"/>
      <c r="AN58" s="370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</row>
    <row r="59" spans="36:70" ht="18" thickBot="1">
      <c r="AJ59" s="309" t="s">
        <v>145</v>
      </c>
      <c r="AK59" s="308">
        <v>10</v>
      </c>
      <c r="AL59" s="311">
        <v>23</v>
      </c>
      <c r="AM59" s="311">
        <v>10</v>
      </c>
      <c r="AN59" s="446">
        <v>937000</v>
      </c>
      <c r="AO59" s="311">
        <v>4600</v>
      </c>
      <c r="AP59" s="311">
        <v>55000</v>
      </c>
      <c r="AQ59" s="311">
        <v>55000</v>
      </c>
      <c r="AR59" s="311">
        <v>145</v>
      </c>
      <c r="AS59" s="310">
        <v>0.34</v>
      </c>
      <c r="AT59" s="310">
        <v>0.34</v>
      </c>
      <c r="AU59" s="311">
        <v>58</v>
      </c>
      <c r="AV59" s="311">
        <v>177</v>
      </c>
      <c r="AW59" s="311">
        <v>177</v>
      </c>
      <c r="AX59" s="308">
        <v>4.3</v>
      </c>
      <c r="AY59" s="308">
        <v>6.4</v>
      </c>
      <c r="AZ59" s="311">
        <v>20</v>
      </c>
      <c r="BA59" s="308">
        <v>2.1</v>
      </c>
      <c r="BB59" s="308">
        <v>1.43</v>
      </c>
      <c r="BC59" s="308">
        <v>1</v>
      </c>
      <c r="BD59" s="310" t="s">
        <v>94</v>
      </c>
      <c r="BE59" s="310" t="s">
        <v>94</v>
      </c>
      <c r="BF59" s="308">
        <v>2.85</v>
      </c>
      <c r="BG59" s="308">
        <v>1.1399999999999999</v>
      </c>
      <c r="BH59" s="308">
        <v>9.44</v>
      </c>
      <c r="BI59" s="308">
        <v>15.1</v>
      </c>
      <c r="BJ59" s="308">
        <v>30.1</v>
      </c>
      <c r="BK59" s="310">
        <v>0.66</v>
      </c>
      <c r="BL59" s="308"/>
      <c r="BM59" s="308"/>
      <c r="BN59" s="307"/>
      <c r="BO59" s="307"/>
      <c r="BP59" s="307"/>
      <c r="BQ59" s="307"/>
      <c r="BR59" s="307"/>
    </row>
    <row r="60" spans="36:70" ht="17">
      <c r="AJ60" s="309"/>
      <c r="AK60" s="308" t="s">
        <v>94</v>
      </c>
      <c r="AL60" s="308" t="s">
        <v>94</v>
      </c>
      <c r="AM60" s="308" t="s">
        <v>94</v>
      </c>
      <c r="AN60" s="308" t="s">
        <v>94</v>
      </c>
      <c r="AO60" s="308" t="s">
        <v>94</v>
      </c>
      <c r="AP60" s="308" t="s">
        <v>94</v>
      </c>
      <c r="AQ60" s="308" t="s">
        <v>94</v>
      </c>
      <c r="AR60" s="308" t="s">
        <v>94</v>
      </c>
      <c r="AS60" s="308" t="s">
        <v>94</v>
      </c>
      <c r="AT60" s="308" t="s">
        <v>94</v>
      </c>
      <c r="AU60" s="308" t="s">
        <v>94</v>
      </c>
      <c r="AV60" s="308" t="s">
        <v>94</v>
      </c>
      <c r="AW60" s="308" t="s">
        <v>94</v>
      </c>
      <c r="AX60" s="308" t="s">
        <v>94</v>
      </c>
      <c r="AY60" s="308" t="s">
        <v>94</v>
      </c>
      <c r="AZ60" s="308" t="s">
        <v>94</v>
      </c>
      <c r="BA60" s="308" t="s">
        <v>94</v>
      </c>
      <c r="BB60" s="308" t="s">
        <v>94</v>
      </c>
      <c r="BC60" s="308" t="s">
        <v>94</v>
      </c>
      <c r="BD60" s="308" t="s">
        <v>94</v>
      </c>
      <c r="BE60" s="308" t="s">
        <v>94</v>
      </c>
      <c r="BF60" s="308" t="s">
        <v>94</v>
      </c>
      <c r="BG60" s="308" t="s">
        <v>94</v>
      </c>
      <c r="BH60" s="308" t="s">
        <v>94</v>
      </c>
      <c r="BI60" s="308" t="s">
        <v>94</v>
      </c>
      <c r="BJ60" s="308" t="s">
        <v>94</v>
      </c>
      <c r="BK60" s="308" t="s">
        <v>94</v>
      </c>
      <c r="BL60" s="308"/>
      <c r="BM60" s="308"/>
      <c r="BN60" s="307"/>
      <c r="BO60" s="307"/>
      <c r="BP60" s="307"/>
      <c r="BQ60" s="307"/>
      <c r="BR60" s="30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CJ74"/>
  <sheetViews>
    <sheetView topLeftCell="W1" zoomScaleNormal="100" workbookViewId="0">
      <selection activeCell="Q34" sqref="Q34"/>
    </sheetView>
  </sheetViews>
  <sheetFormatPr baseColWidth="10" defaultColWidth="11.6640625" defaultRowHeight="16"/>
  <cols>
    <col min="1" max="2" width="11.6640625" style="306"/>
    <col min="3" max="3" width="13.6640625" style="306" customWidth="1"/>
    <col min="4" max="5" width="15.6640625" style="306" customWidth="1"/>
    <col min="6" max="6" width="12.6640625" style="306" customWidth="1"/>
    <col min="7" max="8" width="16.1640625" style="306" customWidth="1"/>
    <col min="9" max="9" width="12.83203125" style="306" customWidth="1"/>
    <col min="10" max="22" width="15.6640625" style="306" customWidth="1"/>
    <col min="23" max="23" width="12.6640625" style="306" customWidth="1"/>
    <col min="24" max="24" width="13.6640625" style="306" customWidth="1"/>
    <col min="25" max="25" width="11.6640625" style="306"/>
    <col min="26" max="26" width="13" style="306" customWidth="1"/>
    <col min="27" max="27" width="13.83203125" style="306" customWidth="1"/>
    <col min="28" max="28" width="13.6640625" style="306" bestFit="1" customWidth="1"/>
    <col min="29" max="30" width="14" style="306" customWidth="1"/>
    <col min="31" max="32" width="12.5" style="306" customWidth="1"/>
    <col min="33" max="35" width="14" style="306" customWidth="1"/>
    <col min="36" max="37" width="11.6640625" style="306"/>
    <col min="38" max="38" width="23.1640625" style="306" customWidth="1"/>
    <col min="39" max="74" width="11.6640625" style="306"/>
    <col min="75" max="75" width="55.6640625" style="306" customWidth="1"/>
    <col min="76" max="16384" width="11.6640625" style="306"/>
  </cols>
  <sheetData>
    <row r="1" spans="1:88">
      <c r="A1" s="445" t="s">
        <v>495</v>
      </c>
      <c r="B1" s="445" t="s">
        <v>494</v>
      </c>
      <c r="C1" s="306" t="s">
        <v>493</v>
      </c>
      <c r="D1" s="306" t="s">
        <v>492</v>
      </c>
      <c r="E1" s="1442" t="s">
        <v>1421</v>
      </c>
      <c r="F1" s="306" t="s">
        <v>491</v>
      </c>
      <c r="G1" s="306" t="s">
        <v>490</v>
      </c>
      <c r="H1" s="1442" t="s">
        <v>1422</v>
      </c>
      <c r="I1" s="306" t="s">
        <v>489</v>
      </c>
      <c r="J1" s="306" t="s">
        <v>488</v>
      </c>
      <c r="K1" s="1445" t="s">
        <v>1423</v>
      </c>
      <c r="L1" s="844" t="s">
        <v>487</v>
      </c>
      <c r="M1" s="875" t="s">
        <v>1392</v>
      </c>
      <c r="N1" s="845" t="s">
        <v>1353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82" t="s">
        <v>935</v>
      </c>
      <c r="X1" s="306" t="s">
        <v>481</v>
      </c>
      <c r="Y1" s="306" t="s">
        <v>480</v>
      </c>
      <c r="Z1" s="1375" t="s">
        <v>1411</v>
      </c>
      <c r="AA1" s="1375" t="s">
        <v>1412</v>
      </c>
      <c r="AB1" s="844" t="s">
        <v>479</v>
      </c>
      <c r="AC1" s="843" t="s">
        <v>478</v>
      </c>
      <c r="AD1" s="843" t="s">
        <v>1353</v>
      </c>
      <c r="AE1" s="1530" t="s">
        <v>1428</v>
      </c>
      <c r="AF1" s="1530" t="s">
        <v>1429</v>
      </c>
      <c r="AG1" s="1483" t="s">
        <v>1425</v>
      </c>
      <c r="AH1" s="1485" t="s">
        <v>1426</v>
      </c>
      <c r="AI1" s="866" t="s">
        <v>1353</v>
      </c>
    </row>
    <row r="2" spans="1:88" ht="19">
      <c r="L2" s="846"/>
      <c r="N2" s="847"/>
      <c r="W2" s="853"/>
      <c r="AB2" s="846"/>
      <c r="AG2" s="846"/>
      <c r="AI2" s="847"/>
      <c r="AL2" s="1053" t="s">
        <v>271</v>
      </c>
      <c r="AM2" s="381" t="s">
        <v>0</v>
      </c>
      <c r="AN2" s="307"/>
      <c r="AO2" s="307"/>
      <c r="AP2" s="373"/>
      <c r="AQ2" s="373"/>
      <c r="AR2" s="307"/>
      <c r="AS2" s="307"/>
      <c r="AT2" s="307"/>
      <c r="AU2" s="307"/>
      <c r="AV2" s="307"/>
      <c r="AW2" s="307"/>
      <c r="AX2" s="307"/>
      <c r="AY2" s="373"/>
      <c r="AZ2" s="373"/>
      <c r="BA2" s="373"/>
      <c r="BB2" s="373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</row>
    <row r="3" spans="1:88" ht="18" thickBot="1">
      <c r="A3" s="435" t="s">
        <v>313</v>
      </c>
      <c r="B3" s="435" t="s">
        <v>3</v>
      </c>
      <c r="C3" s="405" t="e">
        <f>AVERAGE(AM$54:AM$58)</f>
        <v>#DIV/0!</v>
      </c>
      <c r="D3" s="405" t="e">
        <f>STDEV(AM$54:AM$58)</f>
        <v>#DIV/0!</v>
      </c>
      <c r="E3" s="405" t="e" cm="1">
        <f t="array" ref="E3:E34">2*D3:D34</f>
        <v>#DIV/0!</v>
      </c>
      <c r="F3" s="720">
        <f>AVERAGE(AM$59:AM$63)</f>
        <v>18.193488021414314</v>
      </c>
      <c r="G3" s="720">
        <f>STDEV(AM$59:AM$63)</f>
        <v>14.408727844695136</v>
      </c>
      <c r="H3" s="720" cm="1">
        <f t="array" ref="H3:H34">2*G3:G34</f>
        <v>28.817455689390272</v>
      </c>
      <c r="I3" s="405">
        <f>AVERAGE(AM$64:AM$68)</f>
        <v>8.7793612098168055</v>
      </c>
      <c r="J3" s="405">
        <f>STDEV(AM$64:AM$68)</f>
        <v>16.69522288457242</v>
      </c>
      <c r="K3" s="405" cm="1">
        <f t="array" ref="K3:K34">2*J3:J34</f>
        <v>33.39044576914484</v>
      </c>
      <c r="L3" s="848" t="e" cm="1">
        <f t="array" ref="L3:L34">C3:C34/I3:I34</f>
        <v>#DIV/0!</v>
      </c>
      <c r="M3" s="571" t="e" cm="1">
        <f t="array" ref="M3:M34">L3:L34*SQRT((D3:D34/C3:C34)^2 + (J3:J34/I3:I34)^2)</f>
        <v>#DIV/0!</v>
      </c>
      <c r="N3" s="862" t="e" cm="1">
        <f t="array" ref="N3:N34">2*(M3:M34)</f>
        <v>#DIV/0!</v>
      </c>
      <c r="O3" s="435">
        <v>0.56999999999999995</v>
      </c>
      <c r="P3" s="433">
        <v>3</v>
      </c>
      <c r="Q3" s="778">
        <v>0.43961061299999998</v>
      </c>
      <c r="R3" s="570">
        <f t="shared" ref="R3:R34" si="0">(1-(2*Q3))/(1-Q3)</f>
        <v>0.21552651924152164</v>
      </c>
      <c r="S3" s="778">
        <f>O3*(((1-(2*C47))/(1-C47))^P3)</f>
        <v>4.0828839453434605E-3</v>
      </c>
      <c r="T3" s="433">
        <f>O3*(((1-(2*C46))/(1-C46))^P3)</f>
        <v>7.6266986615571757E-3</v>
      </c>
      <c r="U3" s="433" cm="1">
        <f t="array" ref="U3:U34">W3:W34-S3:S34</f>
        <v>1.623710390528132E-3</v>
      </c>
      <c r="V3" s="433" cm="1">
        <f t="array" ref="V3:V34">T3:T34-W3:W34</f>
        <v>1.9201043256855833E-3</v>
      </c>
      <c r="W3" s="854">
        <f t="shared" ref="W3:W34" si="1">O3*((R3)^P3)</f>
        <v>5.7065943358715924E-3</v>
      </c>
      <c r="X3" s="573" t="e">
        <f t="shared" ref="X3:X34" si="2">L3/W3</f>
        <v>#DIV/0!</v>
      </c>
      <c r="Y3" s="570" t="e">
        <f t="shared" ref="Y3:Y34" si="3">X3*(M3/L3)</f>
        <v>#DIV/0!</v>
      </c>
      <c r="Z3" s="570"/>
      <c r="AA3" s="570"/>
      <c r="AB3" s="868" t="e" cm="1">
        <f t="array" ref="AB3:AB34">C3:C34/F3:F34</f>
        <v>#DIV/0!</v>
      </c>
      <c r="AC3" s="571" t="e" cm="1">
        <f t="array" ref="AC3:AC34">AB3:AB34*SQRT((D3:D34/C3:C34)^2 + (G3:G34/F3:F34)^2)</f>
        <v>#DIV/0!</v>
      </c>
      <c r="AD3" s="813" t="e" cm="1">
        <f t="array" ref="AD3:AD34">2*AC3:AC34</f>
        <v>#DIV/0!</v>
      </c>
      <c r="AE3" s="570"/>
      <c r="AF3" s="570"/>
      <c r="AG3" s="867" cm="1">
        <f t="array" ref="AG3:AG34">F3:F34/I3:I34</f>
        <v>2.0723020259231308</v>
      </c>
      <c r="AH3" s="813" cm="1">
        <f t="array" ref="AH3:AH34">AG3:AG34*SQRT((J3:J34/I3:I34)^2 + (G3:G34/F3:F34)^2)</f>
        <v>4.2688770517967685</v>
      </c>
      <c r="AI3" s="858" cm="1">
        <f t="array" ref="AI3:AI34">2*AH3:AH34</f>
        <v>8.5377541035935369</v>
      </c>
      <c r="AJ3" s="435" t="s">
        <v>3</v>
      </c>
      <c r="AL3" s="380"/>
      <c r="AM3" s="307" t="s">
        <v>913</v>
      </c>
      <c r="AN3" s="307"/>
      <c r="AO3" s="307"/>
      <c r="AP3" s="307"/>
      <c r="AQ3" s="373"/>
      <c r="AR3" s="307"/>
      <c r="AS3" s="307"/>
      <c r="AT3" s="307"/>
      <c r="AU3" s="307"/>
      <c r="AV3" s="379"/>
      <c r="AW3" s="378">
        <v>43783.525775462964</v>
      </c>
      <c r="AX3" s="307"/>
      <c r="AY3" s="379"/>
      <c r="AZ3" s="378"/>
      <c r="BA3" s="373"/>
      <c r="BB3" s="373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</row>
    <row r="4" spans="1:88" ht="17">
      <c r="A4" s="435" t="s">
        <v>313</v>
      </c>
      <c r="B4" s="435" t="s">
        <v>4</v>
      </c>
      <c r="C4" s="405" t="e">
        <f>AVERAGE(AN$54:AN$58)</f>
        <v>#DIV/0!</v>
      </c>
      <c r="D4" s="405" t="e">
        <f>STDEV(AN$54:AN$58)</f>
        <v>#DIV/0!</v>
      </c>
      <c r="E4" s="405" t="e">
        <v>#DIV/0!</v>
      </c>
      <c r="F4" s="405">
        <f>AVERAGE(AN$59:AN$63)</f>
        <v>93.592143443982579</v>
      </c>
      <c r="G4" s="405">
        <f>STDEV(AN$59:AN$63)</f>
        <v>109.235950099726</v>
      </c>
      <c r="H4" s="405">
        <v>218.47190019945199</v>
      </c>
      <c r="I4" s="405">
        <f>AVERAGE(AN$64:AN$68)</f>
        <v>36.063476500666212</v>
      </c>
      <c r="J4" s="405">
        <f>STDEV(AN$64:AN$68)</f>
        <v>47.411937018245155</v>
      </c>
      <c r="K4" s="405">
        <v>94.823874036490309</v>
      </c>
      <c r="L4" s="848" t="e">
        <v>#DIV/0!</v>
      </c>
      <c r="M4" s="571" t="e">
        <v>#DIV/0!</v>
      </c>
      <c r="N4" s="862" t="e">
        <v>#DIV/0!</v>
      </c>
      <c r="O4" s="435">
        <v>0.81</v>
      </c>
      <c r="P4" s="433">
        <v>1.66</v>
      </c>
      <c r="Q4" s="778">
        <v>0.43961061299999998</v>
      </c>
      <c r="R4" s="570">
        <f t="shared" si="0"/>
        <v>0.21552651924152164</v>
      </c>
      <c r="S4" s="433">
        <f>O4*(((1-(2*C47))/(1-C47))^P4)</f>
        <v>5.2678818393582134E-2</v>
      </c>
      <c r="T4" s="433">
        <f>O4*(((1-(2*C46))/(1-C46))^P4)</f>
        <v>7.4437853921524202E-2</v>
      </c>
      <c r="U4" s="433">
        <v>1.0722195921695203E-2</v>
      </c>
      <c r="V4" s="433">
        <v>1.1036839606246865E-2</v>
      </c>
      <c r="W4" s="854">
        <f t="shared" si="1"/>
        <v>6.3401014315277338E-2</v>
      </c>
      <c r="X4" s="573" t="e">
        <f t="shared" si="2"/>
        <v>#DIV/0!</v>
      </c>
      <c r="Y4" s="570" t="e">
        <f t="shared" si="3"/>
        <v>#DIV/0!</v>
      </c>
      <c r="Z4" s="778">
        <f>AN49/F4</f>
        <v>3.3501147773692076E-3</v>
      </c>
      <c r="AA4" s="570"/>
      <c r="AB4" s="868" t="e">
        <v>#DIV/0!</v>
      </c>
      <c r="AC4" s="571" t="e">
        <v>#DIV/0!</v>
      </c>
      <c r="AD4" s="813" t="e">
        <v>#DIV/0!</v>
      </c>
      <c r="AE4" s="570"/>
      <c r="AF4" s="570"/>
      <c r="AG4" s="867">
        <v>2.595205801699501</v>
      </c>
      <c r="AH4" s="813">
        <v>4.5624131681413038</v>
      </c>
      <c r="AI4" s="858">
        <v>9.1248263362826076</v>
      </c>
      <c r="AJ4" s="435" t="s">
        <v>4</v>
      </c>
      <c r="AL4" s="309" t="s">
        <v>2</v>
      </c>
      <c r="AM4" s="375" t="s">
        <v>3</v>
      </c>
      <c r="AN4" s="375" t="s">
        <v>4</v>
      </c>
      <c r="AO4" s="375" t="s">
        <v>5</v>
      </c>
      <c r="AP4" s="375" t="s">
        <v>6</v>
      </c>
      <c r="AQ4" s="375" t="s">
        <v>7</v>
      </c>
      <c r="AR4" s="377" t="s">
        <v>8</v>
      </c>
      <c r="AS4" s="375" t="s">
        <v>8</v>
      </c>
      <c r="AT4" s="375" t="s">
        <v>9</v>
      </c>
      <c r="AU4" s="375" t="s">
        <v>10</v>
      </c>
      <c r="AV4" s="375" t="s">
        <v>10</v>
      </c>
      <c r="AW4" s="375" t="s">
        <v>11</v>
      </c>
      <c r="AX4" s="375" t="s">
        <v>11</v>
      </c>
      <c r="AY4" s="375" t="s">
        <v>12</v>
      </c>
      <c r="AZ4" s="375" t="s">
        <v>12</v>
      </c>
      <c r="BA4" s="375" t="s">
        <v>13</v>
      </c>
      <c r="BB4" s="375" t="s">
        <v>14</v>
      </c>
      <c r="BC4" s="375" t="s">
        <v>14</v>
      </c>
      <c r="BD4" s="375" t="s">
        <v>15</v>
      </c>
      <c r="BE4" s="375" t="s">
        <v>16</v>
      </c>
      <c r="BF4" s="375" t="s">
        <v>17</v>
      </c>
      <c r="BG4" s="375" t="s">
        <v>18</v>
      </c>
      <c r="BH4" s="375" t="s">
        <v>17</v>
      </c>
      <c r="BI4" s="375" t="s">
        <v>19</v>
      </c>
      <c r="BJ4" s="375" t="s">
        <v>20</v>
      </c>
      <c r="BK4" s="375" t="s">
        <v>21</v>
      </c>
      <c r="BL4" s="375" t="s">
        <v>22</v>
      </c>
      <c r="BM4" s="375" t="s">
        <v>23</v>
      </c>
      <c r="BN4" s="375" t="s">
        <v>24</v>
      </c>
      <c r="BO4" s="375" t="s">
        <v>25</v>
      </c>
      <c r="BP4" s="375" t="s">
        <v>26</v>
      </c>
      <c r="BQ4" s="375" t="s">
        <v>27</v>
      </c>
      <c r="BR4" s="375" t="s">
        <v>28</v>
      </c>
      <c r="BS4" s="307"/>
      <c r="BT4" s="375" t="s">
        <v>29</v>
      </c>
      <c r="BU4" s="375" t="s">
        <v>30</v>
      </c>
      <c r="BV4" s="375"/>
      <c r="BW4" s="375" t="s">
        <v>31</v>
      </c>
    </row>
    <row r="5" spans="1:88" ht="17">
      <c r="A5" s="435" t="s">
        <v>313</v>
      </c>
      <c r="B5" s="435" t="s">
        <v>5</v>
      </c>
      <c r="C5" s="405" t="e">
        <f>AVERAGE(AO$54:AO$58)</f>
        <v>#DIV/0!</v>
      </c>
      <c r="D5" s="405" t="e">
        <f>STDEV(AO$54:AO$58)</f>
        <v>#DIV/0!</v>
      </c>
      <c r="E5" s="405" t="e">
        <v>#DIV/0!</v>
      </c>
      <c r="F5" s="434">
        <f>AVERAGE(AO$59:AO$63)</f>
        <v>777.51056753677756</v>
      </c>
      <c r="G5" s="434">
        <f>STDEV(AO$59:AO$63)</f>
        <v>28.064425012798957</v>
      </c>
      <c r="H5" s="434">
        <v>56.128850025597913</v>
      </c>
      <c r="I5" s="434">
        <f>AVERAGE(AO$64:AO$68)</f>
        <v>256.61969441461059</v>
      </c>
      <c r="J5" s="434">
        <f>STDEV(AO$64:AO$68)</f>
        <v>76.79525975268497</v>
      </c>
      <c r="K5" s="434">
        <v>153.59051950536994</v>
      </c>
      <c r="L5" s="848" t="e">
        <v>#DIV/0!</v>
      </c>
      <c r="M5" s="571" t="e">
        <v>#DIV/0!</v>
      </c>
      <c r="N5" s="862" t="e">
        <v>#DIV/0!</v>
      </c>
      <c r="O5" s="435"/>
      <c r="P5" s="433"/>
      <c r="Q5" s="778">
        <v>0.43961061299999998</v>
      </c>
      <c r="R5" s="570">
        <f t="shared" si="0"/>
        <v>0.21552651924152164</v>
      </c>
      <c r="S5" s="433"/>
      <c r="T5" s="433"/>
      <c r="U5" s="433">
        <v>0</v>
      </c>
      <c r="V5" s="433">
        <v>0</v>
      </c>
      <c r="W5" s="854">
        <f t="shared" si="1"/>
        <v>0</v>
      </c>
      <c r="X5" s="570" t="e">
        <f t="shared" si="2"/>
        <v>#DIV/0!</v>
      </c>
      <c r="Y5" s="570" t="e">
        <f t="shared" si="3"/>
        <v>#DIV/0!</v>
      </c>
      <c r="Z5" s="570"/>
      <c r="AA5" s="570"/>
      <c r="AB5" s="868" t="e">
        <v>#DIV/0!</v>
      </c>
      <c r="AC5" s="571" t="e">
        <v>#DIV/0!</v>
      </c>
      <c r="AD5" s="813" t="e">
        <v>#DIV/0!</v>
      </c>
      <c r="AE5" s="570"/>
      <c r="AF5" s="570"/>
      <c r="AG5" s="867">
        <v>3.0298164344338421</v>
      </c>
      <c r="AH5" s="813">
        <v>0.91326560302404192</v>
      </c>
      <c r="AI5" s="858">
        <v>1.8265312060480838</v>
      </c>
      <c r="AJ5" s="435" t="s">
        <v>5</v>
      </c>
      <c r="AL5" s="309" t="s">
        <v>32</v>
      </c>
      <c r="AM5" s="307">
        <v>51</v>
      </c>
      <c r="AN5" s="307">
        <v>53</v>
      </c>
      <c r="AO5" s="307">
        <v>55</v>
      </c>
      <c r="AP5" s="307">
        <v>57</v>
      </c>
      <c r="AQ5" s="307">
        <v>59</v>
      </c>
      <c r="AR5" s="370">
        <v>61</v>
      </c>
      <c r="AS5" s="307">
        <v>62</v>
      </c>
      <c r="AT5" s="307">
        <v>63</v>
      </c>
      <c r="AU5" s="307">
        <v>66</v>
      </c>
      <c r="AV5" s="307">
        <v>67</v>
      </c>
      <c r="AW5" s="307">
        <v>69</v>
      </c>
      <c r="AX5" s="307">
        <v>71</v>
      </c>
      <c r="AY5" s="307">
        <v>72</v>
      </c>
      <c r="AZ5" s="307">
        <v>73</v>
      </c>
      <c r="BA5" s="307">
        <v>75</v>
      </c>
      <c r="BB5" s="307">
        <v>95</v>
      </c>
      <c r="BC5" s="307">
        <v>97</v>
      </c>
      <c r="BD5" s="307">
        <v>101</v>
      </c>
      <c r="BE5" s="307">
        <v>103</v>
      </c>
      <c r="BF5" s="307">
        <v>105</v>
      </c>
      <c r="BG5" s="307">
        <v>107</v>
      </c>
      <c r="BH5" s="307">
        <v>108</v>
      </c>
      <c r="BI5" s="307">
        <v>118</v>
      </c>
      <c r="BJ5" s="307">
        <v>121</v>
      </c>
      <c r="BK5" s="307">
        <v>184</v>
      </c>
      <c r="BL5" s="307">
        <v>185</v>
      </c>
      <c r="BM5" s="307">
        <v>189</v>
      </c>
      <c r="BN5" s="307">
        <v>193</v>
      </c>
      <c r="BO5" s="307">
        <v>195</v>
      </c>
      <c r="BP5" s="307">
        <v>197</v>
      </c>
      <c r="BQ5" s="307">
        <v>208</v>
      </c>
      <c r="BR5" s="307">
        <v>209</v>
      </c>
      <c r="BS5" s="307"/>
      <c r="BT5" s="375" t="s">
        <v>33</v>
      </c>
      <c r="BU5" s="375" t="s">
        <v>34</v>
      </c>
      <c r="BV5" s="307"/>
      <c r="BW5" s="307"/>
    </row>
    <row r="6" spans="1:88" ht="17">
      <c r="A6" s="435" t="s">
        <v>839</v>
      </c>
      <c r="B6" s="435" t="s">
        <v>6</v>
      </c>
      <c r="C6" s="405" t="e">
        <f>AVERAGE(AP$54:AP$58)</f>
        <v>#DIV/0!</v>
      </c>
      <c r="D6" s="405" t="e">
        <f>STDEV(AP$54:AP$58)</f>
        <v>#DIV/0!</v>
      </c>
      <c r="E6" s="405" t="e">
        <v>#DIV/0!</v>
      </c>
      <c r="F6" s="405" t="e">
        <f>AVERAGE(AP$59:AP$63)</f>
        <v>#DIV/0!</v>
      </c>
      <c r="G6" s="405" t="e">
        <f>STDEV(AP$59:AP$63)</f>
        <v>#DIV/0!</v>
      </c>
      <c r="H6" s="405" t="e">
        <v>#DIV/0!</v>
      </c>
      <c r="I6" s="405" t="e">
        <f>AVERAGE(AP$64:AP$68)</f>
        <v>#DIV/0!</v>
      </c>
      <c r="J6" s="405" t="e">
        <f>STDEV(AP$64:AP$68)</f>
        <v>#DIV/0!</v>
      </c>
      <c r="K6" s="405" t="e">
        <v>#DIV/0!</v>
      </c>
      <c r="L6" s="878" t="e">
        <v>#DIV/0!</v>
      </c>
      <c r="M6" s="573" t="e">
        <v>#DIV/0!</v>
      </c>
      <c r="N6" s="864" t="e">
        <v>#DIV/0!</v>
      </c>
      <c r="O6" s="435"/>
      <c r="P6" s="433"/>
      <c r="Q6" s="778">
        <v>0.43961061299999998</v>
      </c>
      <c r="R6" s="570">
        <f t="shared" si="0"/>
        <v>0.21552651924152164</v>
      </c>
      <c r="S6" s="736"/>
      <c r="T6" s="736"/>
      <c r="U6" s="736">
        <v>0</v>
      </c>
      <c r="V6" s="736">
        <v>0</v>
      </c>
      <c r="W6" s="854">
        <f t="shared" si="1"/>
        <v>0</v>
      </c>
      <c r="X6" s="570" t="e">
        <f t="shared" si="2"/>
        <v>#DIV/0!</v>
      </c>
      <c r="Y6" s="570" t="e">
        <f t="shared" si="3"/>
        <v>#DIV/0!</v>
      </c>
      <c r="Z6" s="570"/>
      <c r="AA6" s="570"/>
      <c r="AB6" s="873" t="e">
        <v>#DIV/0!</v>
      </c>
      <c r="AC6" s="573" t="e">
        <v>#DIV/0!</v>
      </c>
      <c r="AD6" s="573" t="e">
        <v>#DIV/0!</v>
      </c>
      <c r="AE6" s="570"/>
      <c r="AF6" s="570"/>
      <c r="AG6" s="868" t="e">
        <v>#DIV/0!</v>
      </c>
      <c r="AH6" s="571" t="e">
        <v>#DIV/0!</v>
      </c>
      <c r="AI6" s="862" t="e">
        <v>#DIV/0!</v>
      </c>
      <c r="AJ6" s="435" t="s">
        <v>6</v>
      </c>
      <c r="AL6" s="309"/>
      <c r="AM6" s="375" t="s">
        <v>35</v>
      </c>
      <c r="AN6" s="375" t="s">
        <v>35</v>
      </c>
      <c r="AO6" s="375" t="s">
        <v>35</v>
      </c>
      <c r="AP6" s="375" t="s">
        <v>35</v>
      </c>
      <c r="AQ6" s="375" t="s">
        <v>35</v>
      </c>
      <c r="AR6" s="376" t="s">
        <v>35</v>
      </c>
      <c r="AS6" s="375" t="s">
        <v>35</v>
      </c>
      <c r="AT6" s="375" t="s">
        <v>35</v>
      </c>
      <c r="AU6" s="375" t="s">
        <v>35</v>
      </c>
      <c r="AV6" s="375" t="s">
        <v>35</v>
      </c>
      <c r="AW6" s="375" t="s">
        <v>35</v>
      </c>
      <c r="AX6" s="375" t="s">
        <v>35</v>
      </c>
      <c r="AY6" s="375" t="s">
        <v>35</v>
      </c>
      <c r="AZ6" s="375" t="s">
        <v>35</v>
      </c>
      <c r="BA6" s="375" t="s">
        <v>35</v>
      </c>
      <c r="BB6" s="375" t="s">
        <v>35</v>
      </c>
      <c r="BC6" s="375" t="s">
        <v>35</v>
      </c>
      <c r="BD6" s="375" t="s">
        <v>35</v>
      </c>
      <c r="BE6" s="375" t="s">
        <v>35</v>
      </c>
      <c r="BF6" s="375" t="s">
        <v>35</v>
      </c>
      <c r="BG6" s="375" t="s">
        <v>35</v>
      </c>
      <c r="BH6" s="375" t="s">
        <v>35</v>
      </c>
      <c r="BI6" s="375" t="s">
        <v>35</v>
      </c>
      <c r="BJ6" s="375" t="s">
        <v>35</v>
      </c>
      <c r="BK6" s="375" t="s">
        <v>35</v>
      </c>
      <c r="BL6" s="375" t="s">
        <v>35</v>
      </c>
      <c r="BM6" s="375" t="s">
        <v>35</v>
      </c>
      <c r="BN6" s="375" t="s">
        <v>35</v>
      </c>
      <c r="BO6" s="375" t="s">
        <v>35</v>
      </c>
      <c r="BP6" s="375" t="s">
        <v>35</v>
      </c>
      <c r="BQ6" s="375" t="s">
        <v>35</v>
      </c>
      <c r="BR6" s="375" t="s">
        <v>35</v>
      </c>
      <c r="BS6" s="307"/>
      <c r="BT6" s="307"/>
      <c r="BU6" s="307"/>
      <c r="BV6" s="307"/>
      <c r="BW6" s="307"/>
    </row>
    <row r="7" spans="1:88" ht="18" customHeight="1">
      <c r="A7" s="577" t="s">
        <v>313</v>
      </c>
      <c r="B7" s="577" t="s">
        <v>7</v>
      </c>
      <c r="C7" s="1453">
        <f>AVERAGE(AQ$54:AQ$58)</f>
        <v>1094.8524929886905</v>
      </c>
      <c r="D7" s="434">
        <f>STDEV(AQ$54:AQ$58)</f>
        <v>45.864358120762624</v>
      </c>
      <c r="E7" s="1453">
        <v>91.728716241525248</v>
      </c>
      <c r="F7" s="1453">
        <f>AVERAGE(AQ$59:AQ$63)</f>
        <v>113.18422872620602</v>
      </c>
      <c r="G7" s="434">
        <f>STDEV(AQ$59:AQ$63)</f>
        <v>2.3782918894400948</v>
      </c>
      <c r="H7" s="1453">
        <v>4.7565837788801897</v>
      </c>
      <c r="I7" s="1453">
        <f>AVERAGE(AQ$64:AQ$68)</f>
        <v>321.05623701735959</v>
      </c>
      <c r="J7" s="434">
        <f>STDEV(AQ$64:AQ$68)</f>
        <v>33.246295270839788</v>
      </c>
      <c r="K7" s="1453">
        <v>66.492590541679576</v>
      </c>
      <c r="L7" s="1463">
        <v>3.4101579933782493</v>
      </c>
      <c r="M7" s="570">
        <v>0.38093227597928908</v>
      </c>
      <c r="N7" s="1464">
        <v>0.76186455195857816</v>
      </c>
      <c r="O7" s="577">
        <v>0.95</v>
      </c>
      <c r="P7" s="576">
        <v>-1.26</v>
      </c>
      <c r="Q7" s="778">
        <v>0.43961061299999998</v>
      </c>
      <c r="R7" s="570">
        <f t="shared" si="0"/>
        <v>0.21552651924152164</v>
      </c>
      <c r="S7" s="781">
        <f>O7*(((1-(2*C46))/(1-C46))^P7)</f>
        <v>5.8158028774784221</v>
      </c>
      <c r="T7" s="781">
        <f>O7*(((1-(2*C47))/(1-C47))^P7)</f>
        <v>7.5610983964485801</v>
      </c>
      <c r="U7" s="781">
        <v>0.75340045090707886</v>
      </c>
      <c r="V7" s="781">
        <v>0.99189506806307914</v>
      </c>
      <c r="W7" s="888">
        <f t="shared" si="1"/>
        <v>6.5692033283855009</v>
      </c>
      <c r="X7" s="570">
        <f t="shared" si="2"/>
        <v>0.51911286999490036</v>
      </c>
      <c r="Y7" s="570">
        <f t="shared" si="3"/>
        <v>5.7987591026948768E-2</v>
      </c>
      <c r="Z7" s="570"/>
      <c r="AA7" s="570"/>
      <c r="AB7" s="863">
        <v>9.673189500960877</v>
      </c>
      <c r="AC7" s="570">
        <v>0.45333894345044856</v>
      </c>
      <c r="AD7" s="573">
        <v>0.90667788690089712</v>
      </c>
      <c r="AE7" s="570"/>
      <c r="AF7" s="570"/>
      <c r="AG7" s="873">
        <v>0.35253708128425526</v>
      </c>
      <c r="AH7" s="573">
        <v>3.7250218819786803E-2</v>
      </c>
      <c r="AI7" s="864">
        <v>7.4500437639573605E-2</v>
      </c>
      <c r="AJ7" s="577" t="s">
        <v>7</v>
      </c>
      <c r="AL7" s="309"/>
      <c r="AM7" s="373"/>
      <c r="AN7" s="373"/>
      <c r="AO7" s="373"/>
      <c r="AP7" s="373"/>
      <c r="AQ7" s="373"/>
      <c r="AR7" s="374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</row>
    <row r="8" spans="1:88" ht="17">
      <c r="A8" s="577" t="s">
        <v>313</v>
      </c>
      <c r="B8" s="577" t="s">
        <v>477</v>
      </c>
      <c r="C8" s="434">
        <f>AVERAGE(AR$54:AR$58)</f>
        <v>441400</v>
      </c>
      <c r="D8" s="434">
        <f>STDEV(AR$54:AR$58)</f>
        <v>0</v>
      </c>
      <c r="E8" s="434">
        <v>0</v>
      </c>
      <c r="F8" s="434">
        <f>AVERAGE(AR$59:AR$63)</f>
        <v>17900</v>
      </c>
      <c r="G8" s="434">
        <f>STDEV(AR$59:AR$63)</f>
        <v>0</v>
      </c>
      <c r="H8" s="434">
        <v>0</v>
      </c>
      <c r="I8" s="434">
        <f>AVERAGE(AR$64:AR$68)</f>
        <v>207400</v>
      </c>
      <c r="J8" s="434">
        <f>STDEV(AR$64:AR$68)</f>
        <v>0</v>
      </c>
      <c r="K8" s="434">
        <v>0</v>
      </c>
      <c r="L8" s="930">
        <v>2.1282545805207329</v>
      </c>
      <c r="M8" s="570">
        <v>0</v>
      </c>
      <c r="N8" s="879">
        <v>0</v>
      </c>
      <c r="O8" s="577">
        <v>0.874</v>
      </c>
      <c r="P8" s="576">
        <v>-0.51700000000000002</v>
      </c>
      <c r="Q8" s="778">
        <v>0.43961061299999998</v>
      </c>
      <c r="R8" s="570">
        <f t="shared" si="0"/>
        <v>0.21552651924152164</v>
      </c>
      <c r="S8" s="781">
        <f>O8*(((1-(2*C46))/(1-C46))^P8)</f>
        <v>1.8381651480694414</v>
      </c>
      <c r="T8" s="781">
        <f>O8*(((1-(2*C47))/(1-C47))^P8)</f>
        <v>2.0471541541168463</v>
      </c>
      <c r="U8" s="781">
        <v>9.4210531518203355E-2</v>
      </c>
      <c r="V8" s="781">
        <v>0.11477847452920154</v>
      </c>
      <c r="W8" s="888">
        <f t="shared" si="1"/>
        <v>1.9323756795876448</v>
      </c>
      <c r="X8" s="570">
        <f t="shared" si="2"/>
        <v>1.1013668837805324</v>
      </c>
      <c r="Y8" s="570">
        <f t="shared" si="3"/>
        <v>0</v>
      </c>
      <c r="Z8" s="570"/>
      <c r="AA8" s="570"/>
      <c r="AB8" s="885">
        <v>24.659217877094971</v>
      </c>
      <c r="AC8" s="570">
        <v>0</v>
      </c>
      <c r="AD8" s="573">
        <v>0</v>
      </c>
      <c r="AE8" s="570"/>
      <c r="AF8" s="570"/>
      <c r="AG8" s="870">
        <v>8.6306653809064604E-2</v>
      </c>
      <c r="AH8" s="871">
        <v>0</v>
      </c>
      <c r="AI8" s="872">
        <v>0</v>
      </c>
      <c r="AJ8" s="577" t="s">
        <v>477</v>
      </c>
      <c r="AL8" s="309" t="s">
        <v>36</v>
      </c>
      <c r="AM8" s="310">
        <v>54.3</v>
      </c>
      <c r="AN8" s="310">
        <v>2646</v>
      </c>
      <c r="AO8" s="310">
        <v>1933</v>
      </c>
      <c r="AP8" s="310">
        <v>184300</v>
      </c>
      <c r="AQ8" s="310">
        <v>506</v>
      </c>
      <c r="AR8" s="371">
        <v>10770</v>
      </c>
      <c r="AS8" s="310">
        <v>10770</v>
      </c>
      <c r="AT8" s="310">
        <v>131</v>
      </c>
      <c r="AU8" s="310">
        <v>323</v>
      </c>
      <c r="AV8" s="310">
        <v>323</v>
      </c>
      <c r="AW8" s="310">
        <v>9.7100000000000009</v>
      </c>
      <c r="AX8" s="310">
        <v>9.7100000000000009</v>
      </c>
      <c r="AY8" s="310">
        <v>32.6</v>
      </c>
      <c r="AZ8" s="310">
        <v>32.6</v>
      </c>
      <c r="BA8" s="310">
        <v>1.81</v>
      </c>
      <c r="BB8" s="310">
        <v>0.92800000000000005</v>
      </c>
      <c r="BC8" s="310">
        <v>0.92800000000000005</v>
      </c>
      <c r="BD8" s="310">
        <v>0.68300000000000005</v>
      </c>
      <c r="BE8" s="310">
        <v>0.14000000000000001</v>
      </c>
      <c r="BF8" s="310">
        <v>0.55600000000000005</v>
      </c>
      <c r="BG8" s="310">
        <v>0.19700000000000001</v>
      </c>
      <c r="BH8" s="310">
        <v>0.55600000000000005</v>
      </c>
      <c r="BI8" s="310">
        <v>1.68</v>
      </c>
      <c r="BJ8" s="310">
        <v>0.13300000000000001</v>
      </c>
      <c r="BK8" s="310">
        <v>9.0300000000000005E-2</v>
      </c>
      <c r="BL8" s="310">
        <v>3.95E-2</v>
      </c>
      <c r="BM8" s="310">
        <v>0.50600000000000001</v>
      </c>
      <c r="BN8" s="310">
        <v>0.48</v>
      </c>
      <c r="BO8" s="310">
        <v>0.98199999999999998</v>
      </c>
      <c r="BP8" s="310">
        <v>0.14799999999999999</v>
      </c>
      <c r="BQ8" s="310">
        <v>2.5299999999999998</v>
      </c>
      <c r="BR8" s="310">
        <v>0.111</v>
      </c>
      <c r="BS8" s="307"/>
      <c r="BT8" s="307"/>
      <c r="BU8" s="307"/>
      <c r="BV8" s="307"/>
      <c r="BW8" s="307"/>
    </row>
    <row r="9" spans="1:88" ht="17">
      <c r="A9" s="577" t="s">
        <v>313</v>
      </c>
      <c r="B9" s="577" t="s">
        <v>475</v>
      </c>
      <c r="C9" s="434">
        <f>AVERAGE(AS$54:AS$58)</f>
        <v>695745.51431526919</v>
      </c>
      <c r="D9" s="434">
        <f>STDEV(AS$54:AS$58)</f>
        <v>19738.128063112985</v>
      </c>
      <c r="E9" s="434">
        <v>39476.25612622597</v>
      </c>
      <c r="F9" s="434">
        <f>AVERAGE(AS$59:AS$63)</f>
        <v>30232.592379360645</v>
      </c>
      <c r="G9" s="434">
        <f>STDEV(AS$59:AS$63)</f>
        <v>376.82801060994791</v>
      </c>
      <c r="H9" s="434">
        <v>753.65602121989582</v>
      </c>
      <c r="I9" s="405" t="e">
        <f>AVERAGE(AS$64:AS$68)</f>
        <v>#DIV/0!</v>
      </c>
      <c r="J9" s="405" t="e">
        <f>STDEV(AS$64:AS$68)</f>
        <v>#DIV/0!</v>
      </c>
      <c r="K9" s="405" t="e">
        <v>#DIV/0!</v>
      </c>
      <c r="L9" s="1331" t="e">
        <v>#DIV/0!</v>
      </c>
      <c r="M9" s="573" t="e">
        <v>#DIV/0!</v>
      </c>
      <c r="N9" s="864" t="e">
        <v>#DIV/0!</v>
      </c>
      <c r="O9" s="577">
        <v>0.874</v>
      </c>
      <c r="P9" s="576">
        <v>-0.52</v>
      </c>
      <c r="Q9" s="778">
        <v>0.43961061299999998</v>
      </c>
      <c r="R9" s="570">
        <f t="shared" si="0"/>
        <v>0.21552651924152164</v>
      </c>
      <c r="S9" s="781">
        <f>O9*(((1-(2*C46))/(1-C46))^P9)</f>
        <v>1.8461120872710524</v>
      </c>
      <c r="T9" s="781">
        <f>O9*(((1-(2*C47))/(1-C47))^P9)</f>
        <v>2.0572897144606315</v>
      </c>
      <c r="U9" s="781">
        <v>9.5180788605746747E-2</v>
      </c>
      <c r="V9" s="781">
        <v>0.11599683858383236</v>
      </c>
      <c r="W9" s="888">
        <f t="shared" si="1"/>
        <v>1.9412928758767991</v>
      </c>
      <c r="X9" s="570" t="e">
        <f t="shared" si="2"/>
        <v>#DIV/0!</v>
      </c>
      <c r="Y9" s="570" t="e">
        <f t="shared" si="3"/>
        <v>#DIV/0!</v>
      </c>
      <c r="Z9" s="570"/>
      <c r="AA9" s="570"/>
      <c r="AB9" s="885">
        <v>23.013094794684051</v>
      </c>
      <c r="AC9" s="570">
        <v>0.7131095122856308</v>
      </c>
      <c r="AD9" s="573">
        <v>1.4262190245712616</v>
      </c>
      <c r="AE9" s="570"/>
      <c r="AF9" s="570"/>
      <c r="AG9" s="870" t="e">
        <v>#DIV/0!</v>
      </c>
      <c r="AH9" s="871" t="e">
        <v>#DIV/0!</v>
      </c>
      <c r="AI9" s="872" t="e">
        <v>#DIV/0!</v>
      </c>
      <c r="AJ9" s="577" t="s">
        <v>475</v>
      </c>
      <c r="AL9" s="309" t="s">
        <v>1352</v>
      </c>
      <c r="AM9" s="310">
        <v>-4.5551215466770412</v>
      </c>
      <c r="AN9" s="310">
        <v>0.13562257835134303</v>
      </c>
      <c r="AO9" s="310">
        <v>-0.97116938599133251</v>
      </c>
      <c r="AP9" s="310">
        <v>17.643555698511097</v>
      </c>
      <c r="AQ9" s="310">
        <v>0.2213126560930713</v>
      </c>
      <c r="AR9" s="371">
        <v>2.1630643895542088</v>
      </c>
      <c r="AS9" s="310">
        <v>6.4422172362277133</v>
      </c>
      <c r="AT9" s="310">
        <v>2.7370311781411878E-2</v>
      </c>
      <c r="AU9" s="310">
        <v>0.11110184661094812</v>
      </c>
      <c r="AV9" s="310">
        <v>-0.55917149629219731</v>
      </c>
      <c r="AW9" s="310">
        <v>1.0176845070135481E-2</v>
      </c>
      <c r="AX9" s="310">
        <v>1.7667656998480639E-2</v>
      </c>
      <c r="AY9" s="310">
        <v>0.28630193540719234</v>
      </c>
      <c r="AZ9" s="310">
        <v>0.54029358489398105</v>
      </c>
      <c r="BA9" s="310">
        <v>7.7317400412829293E-2</v>
      </c>
      <c r="BB9" s="310">
        <v>5.6354187136510039E-2</v>
      </c>
      <c r="BC9" s="310">
        <v>8.6239946375490983E-2</v>
      </c>
      <c r="BD9" s="310">
        <v>8.8581351874120196E-3</v>
      </c>
      <c r="BE9" s="310">
        <v>2.840957699269858E-3</v>
      </c>
      <c r="BF9" s="792">
        <v>1.175307501919871E-2</v>
      </c>
      <c r="BG9" s="310">
        <v>0.5013440054594116</v>
      </c>
      <c r="BH9" s="310">
        <v>4.001025122867089E-3</v>
      </c>
      <c r="BI9" s="310"/>
      <c r="BJ9" s="310"/>
      <c r="BK9" s="310">
        <v>8.5679453063768982E-3</v>
      </c>
      <c r="BL9" s="1377">
        <v>2.4529327013106624E-3</v>
      </c>
      <c r="BM9" s="310">
        <v>0</v>
      </c>
      <c r="BN9" s="1386">
        <v>2.9636243086766782E-3</v>
      </c>
      <c r="BO9" s="1377">
        <v>6.9141039059338041E-3</v>
      </c>
      <c r="BP9" s="310">
        <v>3.0672160020428836E-2</v>
      </c>
      <c r="BQ9" s="310"/>
      <c r="BR9" s="310"/>
      <c r="BS9" s="307"/>
      <c r="BT9" s="307"/>
      <c r="BU9" s="307"/>
      <c r="BV9" s="307"/>
      <c r="BW9" s="307"/>
    </row>
    <row r="10" spans="1:88" ht="18" thickBot="1">
      <c r="A10" s="435" t="s">
        <v>839</v>
      </c>
      <c r="B10" s="435" t="s">
        <v>9</v>
      </c>
      <c r="C10" s="1453">
        <f>AVERAGE(AT$54:AT$58)</f>
        <v>314.44733181966313</v>
      </c>
      <c r="D10" s="434">
        <f>STDEV(AT$54:AT$58)</f>
        <v>10.077159791170429</v>
      </c>
      <c r="E10" s="1453">
        <v>20.154319582340857</v>
      </c>
      <c r="F10" s="1453">
        <f>AVERAGE(AT$59:AT$63)</f>
        <v>217.60059804485633</v>
      </c>
      <c r="G10" s="434">
        <f>STDEV(AT$59:AT$63)</f>
        <v>4.898395490228979</v>
      </c>
      <c r="H10" s="1453">
        <v>9.796790980457958</v>
      </c>
      <c r="I10" s="1453">
        <f>AVERAGE(AT$64:AT$68)</f>
        <v>1280.9182173071158</v>
      </c>
      <c r="J10" s="434">
        <f>STDEV(AT$64:AT$68)</f>
        <v>65.421397942286305</v>
      </c>
      <c r="K10" s="1453">
        <v>130.84279588457261</v>
      </c>
      <c r="L10" s="1463">
        <v>0.24548587690534074</v>
      </c>
      <c r="M10" s="570">
        <v>1.4801718885584514E-2</v>
      </c>
      <c r="N10" s="1497">
        <v>2.9603437771169028E-2</v>
      </c>
      <c r="O10" s="435">
        <v>0.77</v>
      </c>
      <c r="P10" s="433">
        <v>1.39</v>
      </c>
      <c r="Q10" s="778">
        <v>0.43961061299999998</v>
      </c>
      <c r="R10" s="570">
        <f t="shared" si="0"/>
        <v>0.21552651924152164</v>
      </c>
      <c r="S10" s="1358">
        <f>O10*(((1-(2*C47))/(1-C47))^P10)</f>
        <v>7.8105826994498417E-2</v>
      </c>
      <c r="T10" s="1358">
        <f>O10*(((1-(2*C46))/(1-C46))^P10)</f>
        <v>0.10433211085994702</v>
      </c>
      <c r="U10" s="1358">
        <v>1.3107168646187092E-2</v>
      </c>
      <c r="V10" s="1358">
        <v>1.3119115219261512E-2</v>
      </c>
      <c r="W10" s="888">
        <f t="shared" si="1"/>
        <v>9.121299564068551E-2</v>
      </c>
      <c r="X10" s="570">
        <f t="shared" si="2"/>
        <v>2.6913475999887222</v>
      </c>
      <c r="Y10" s="570">
        <f t="shared" si="3"/>
        <v>0.16227642543276163</v>
      </c>
      <c r="Z10" s="570"/>
      <c r="AA10" s="570"/>
      <c r="AB10" s="863">
        <v>1.4450664871557144</v>
      </c>
      <c r="AC10" s="570">
        <v>5.6593615746672564E-2</v>
      </c>
      <c r="AD10" s="573">
        <v>0.11318723149334513</v>
      </c>
      <c r="AE10" s="570"/>
      <c r="AF10" s="570"/>
      <c r="AG10" s="873">
        <v>0.16987860357105369</v>
      </c>
      <c r="AH10" s="1492">
        <v>9.4817202437955592E-3</v>
      </c>
      <c r="AI10" s="1480">
        <v>1.8963440487591118E-2</v>
      </c>
      <c r="AJ10" s="435" t="s">
        <v>9</v>
      </c>
      <c r="AL10" s="797" t="s">
        <v>1396</v>
      </c>
      <c r="AM10" s="798">
        <v>-2.7281354444560066</v>
      </c>
      <c r="AN10" s="798">
        <v>0.12247386414258092</v>
      </c>
      <c r="AO10" s="798">
        <v>-1.2125395070255036</v>
      </c>
      <c r="AP10" s="798">
        <v>18.680175452736488</v>
      </c>
      <c r="AQ10" s="798">
        <v>0.2204977672163127</v>
      </c>
      <c r="AR10" s="799">
        <v>3.005941148109061</v>
      </c>
      <c r="AS10" s="798">
        <v>6.4911536800461827</v>
      </c>
      <c r="AT10" s="798">
        <v>3.4904361020107751E-2</v>
      </c>
      <c r="AU10" s="798">
        <v>0.15553369988658794</v>
      </c>
      <c r="AV10" s="798">
        <v>-0.37421222254904951</v>
      </c>
      <c r="AW10" s="798">
        <v>8.2278263954335806E-3</v>
      </c>
      <c r="AX10" s="798">
        <v>1.680405303679355E-2</v>
      </c>
      <c r="AY10" s="798">
        <v>0.29631608190255182</v>
      </c>
      <c r="AZ10" s="798">
        <v>0.51360719367957774</v>
      </c>
      <c r="BA10" s="798">
        <v>6.7739640654139011E-2</v>
      </c>
      <c r="BB10" s="798">
        <v>5.6920368878934209E-2</v>
      </c>
      <c r="BC10" s="798">
        <v>9.6908350527120005E-2</v>
      </c>
      <c r="BD10" s="798">
        <v>0</v>
      </c>
      <c r="BE10" s="798">
        <v>1.6451697043142219E-3</v>
      </c>
      <c r="BF10" s="798">
        <v>1.1848330866384774E-2</v>
      </c>
      <c r="BG10" s="798">
        <v>-0.13209291909482643</v>
      </c>
      <c r="BH10" s="798">
        <v>0</v>
      </c>
      <c r="BI10" s="798"/>
      <c r="BJ10" s="798"/>
      <c r="BK10" s="798">
        <v>7.978766565027445E-3</v>
      </c>
      <c r="BL10" s="1382">
        <v>0</v>
      </c>
      <c r="BM10" s="798">
        <v>0</v>
      </c>
      <c r="BN10" s="1381">
        <v>2.3496381407052034E-3</v>
      </c>
      <c r="BO10" s="1381">
        <v>4.8308473853954474E-3</v>
      </c>
      <c r="BP10" s="798">
        <v>2.1771949072066032E-2</v>
      </c>
      <c r="BQ10" s="798"/>
      <c r="BR10" s="798"/>
      <c r="BS10" s="307"/>
      <c r="BT10" s="307"/>
      <c r="BU10" s="307"/>
      <c r="BV10" s="307"/>
      <c r="BW10" s="307"/>
    </row>
    <row r="11" spans="1:88" ht="18" customHeight="1">
      <c r="A11" s="435" t="s">
        <v>313</v>
      </c>
      <c r="B11" s="435" t="s">
        <v>468</v>
      </c>
      <c r="C11" s="1453">
        <f>AVERAGE(AU$54:AU$58)</f>
        <v>107.39083993736031</v>
      </c>
      <c r="D11" s="434">
        <f>STDEV(AU$54:AU$58)</f>
        <v>6.2725660507951062</v>
      </c>
      <c r="E11" s="1453">
        <v>12.545132101590212</v>
      </c>
      <c r="F11" s="1453">
        <f>AVERAGE(AU$59:AU$63)</f>
        <v>301.9289781443274</v>
      </c>
      <c r="G11" s="434">
        <f>STDEV(AU$59:AU$63)</f>
        <v>11.094848712785199</v>
      </c>
      <c r="H11" s="1453">
        <v>22.189697425570397</v>
      </c>
      <c r="I11" s="1453">
        <f>AVERAGE(AU$64:AU$68)</f>
        <v>350.71542125262556</v>
      </c>
      <c r="J11" s="434">
        <f>STDEV(AU$64:AU$68)</f>
        <v>69.793843481401638</v>
      </c>
      <c r="K11" s="1453">
        <v>139.58768696280328</v>
      </c>
      <c r="L11" s="930">
        <v>0.30620506949423559</v>
      </c>
      <c r="M11" s="570">
        <v>6.3506560104364632E-2</v>
      </c>
      <c r="N11" s="879">
        <v>0.12701312020872926</v>
      </c>
      <c r="O11" s="435">
        <v>0.66</v>
      </c>
      <c r="P11" s="433">
        <v>0.99</v>
      </c>
      <c r="Q11" s="778">
        <v>0.43961061299999998</v>
      </c>
      <c r="R11" s="570">
        <f t="shared" si="0"/>
        <v>0.21552651924152164</v>
      </c>
      <c r="S11" s="1358">
        <f>O11*(((1-(2*C47))/(1-C47))^P11)</f>
        <v>0.12933746806363783</v>
      </c>
      <c r="T11" s="1358">
        <f>O11*(((1-(2*C46))/(1-C46))^P11)</f>
        <v>0.15895577359324739</v>
      </c>
      <c r="U11" s="1358">
        <v>1.5109903461836022E-2</v>
      </c>
      <c r="V11" s="1358">
        <v>1.450840206777354E-2</v>
      </c>
      <c r="W11" s="888">
        <f t="shared" si="1"/>
        <v>0.14444737152547385</v>
      </c>
      <c r="X11" s="570">
        <f t="shared" si="2"/>
        <v>2.1198382930784945</v>
      </c>
      <c r="Y11" s="570">
        <f t="shared" si="3"/>
        <v>0.4396518914376023</v>
      </c>
      <c r="Z11" s="570"/>
      <c r="AA11" s="570"/>
      <c r="AB11" s="863">
        <v>0.35568245418969219</v>
      </c>
      <c r="AC11" s="570">
        <v>2.4544389726519216E-2</v>
      </c>
      <c r="AD11" s="573">
        <v>4.9088779453038432E-2</v>
      </c>
      <c r="AE11" s="570"/>
      <c r="AF11" s="570"/>
      <c r="AG11" s="873">
        <v>0.86089450263107603</v>
      </c>
      <c r="AH11" s="573">
        <v>0.1742178711601845</v>
      </c>
      <c r="AI11" s="864">
        <v>0.348435742320369</v>
      </c>
      <c r="AJ11" s="435" t="s">
        <v>468</v>
      </c>
      <c r="AL11" s="335" t="s">
        <v>100</v>
      </c>
      <c r="AM11" s="333"/>
      <c r="AN11" s="330"/>
      <c r="AO11" s="332"/>
      <c r="AP11" s="332">
        <v>924801.98756455001</v>
      </c>
      <c r="AQ11" s="332">
        <v>4609.2783278516063</v>
      </c>
      <c r="AR11" s="334">
        <v>55500</v>
      </c>
      <c r="AS11" s="332">
        <v>55999.867375580172</v>
      </c>
      <c r="AT11" s="332">
        <v>144.45619259194481</v>
      </c>
      <c r="AU11" s="330"/>
      <c r="AV11" s="330"/>
      <c r="AW11" s="332">
        <v>57.161831065462849</v>
      </c>
      <c r="AX11" s="332">
        <v>58.85578887123976</v>
      </c>
      <c r="AY11" s="332">
        <v>177.033869621023</v>
      </c>
      <c r="AZ11" s="332">
        <v>173.59690385549004</v>
      </c>
      <c r="BA11" s="333">
        <v>4.4821274726434712</v>
      </c>
      <c r="BB11" s="333">
        <v>6.414915330560274</v>
      </c>
      <c r="BC11" s="333">
        <v>5.9717740967267163</v>
      </c>
      <c r="BD11" s="332">
        <v>20.882744755934407</v>
      </c>
      <c r="BE11" s="333">
        <v>2.0760120155702722</v>
      </c>
      <c r="BF11" s="333">
        <v>1.1334600405841193</v>
      </c>
      <c r="BG11" s="330"/>
      <c r="BH11" s="333"/>
      <c r="BI11" s="330"/>
      <c r="BJ11" s="330"/>
      <c r="BK11" s="333">
        <v>2.9127208577632575</v>
      </c>
      <c r="BL11" s="333">
        <v>1.1330960747371517</v>
      </c>
      <c r="BM11" s="333">
        <v>9.3066373062094669</v>
      </c>
      <c r="BN11" s="332">
        <v>15.208118111495484</v>
      </c>
      <c r="BO11" s="332">
        <v>30.152696516556304</v>
      </c>
      <c r="BP11" s="330"/>
      <c r="BQ11" s="330"/>
      <c r="BR11" s="330"/>
      <c r="BS11" s="327"/>
      <c r="BT11" s="329">
        <v>43.451002120971694</v>
      </c>
      <c r="BU11" s="328">
        <v>1.1059546824252284</v>
      </c>
      <c r="BV11" s="327"/>
      <c r="BW11" s="326" t="s">
        <v>752</v>
      </c>
    </row>
    <row r="12" spans="1:88" ht="18" thickBot="1">
      <c r="A12" s="796" t="s">
        <v>313</v>
      </c>
      <c r="B12" s="435" t="s">
        <v>461</v>
      </c>
      <c r="C12" s="434">
        <f>AVERAGE(AV$54:AV$58)</f>
        <v>90.779343151611073</v>
      </c>
      <c r="D12" s="434">
        <f>STDEV(AV$54:AV$58)</f>
        <v>9.5572530118375152</v>
      </c>
      <c r="E12" s="434">
        <v>19.11450602367503</v>
      </c>
      <c r="F12" s="434">
        <f>AVERAGE(AV$59:AV$63)</f>
        <v>258.25088779869776</v>
      </c>
      <c r="G12" s="434">
        <f>STDEV(AV$59:AV$63)</f>
        <v>12.381585845665526</v>
      </c>
      <c r="H12" s="434">
        <v>24.763171691331053</v>
      </c>
      <c r="I12" s="434">
        <f>AVERAGE(AV$64:AV$68)</f>
        <v>295.681137527624</v>
      </c>
      <c r="J12" s="434">
        <f>STDEV(AV$64:AV$68)</f>
        <v>60.354897358606586</v>
      </c>
      <c r="K12" s="434">
        <v>120.70979471721317</v>
      </c>
      <c r="L12" s="930">
        <v>0.30701770126655448</v>
      </c>
      <c r="M12" s="570">
        <v>7.0513552612772146E-2</v>
      </c>
      <c r="N12" s="879">
        <v>0.14102710522554429</v>
      </c>
      <c r="O12" s="435">
        <v>0.66</v>
      </c>
      <c r="P12" s="433">
        <v>0.99</v>
      </c>
      <c r="Q12" s="778">
        <v>0.43961061299999998</v>
      </c>
      <c r="R12" s="570">
        <f t="shared" si="0"/>
        <v>0.21552651924152164</v>
      </c>
      <c r="S12" s="800">
        <f>O12*(((1-(2*C47))/(1-C47))^P12)</f>
        <v>0.12933746806363783</v>
      </c>
      <c r="T12" s="800">
        <f>O12*(((1-(2*C46))/(1-C46))^P12)</f>
        <v>0.15895577359324739</v>
      </c>
      <c r="U12" s="800">
        <v>1.5109903461836022E-2</v>
      </c>
      <c r="V12" s="800">
        <v>1.450840206777354E-2</v>
      </c>
      <c r="W12" s="888">
        <f t="shared" si="1"/>
        <v>0.14444737152547385</v>
      </c>
      <c r="X12" s="570">
        <f t="shared" si="2"/>
        <v>2.1254640913449276</v>
      </c>
      <c r="Y12" s="570">
        <f t="shared" si="3"/>
        <v>0.48816085656731251</v>
      </c>
      <c r="Z12" s="570"/>
      <c r="AA12" s="570"/>
      <c r="AB12" s="885">
        <v>0.35151609322780741</v>
      </c>
      <c r="AC12" s="570">
        <v>4.0664375045914948E-2</v>
      </c>
      <c r="AD12" s="573">
        <v>8.1328750091829896E-2</v>
      </c>
      <c r="AE12" s="570"/>
      <c r="AF12" s="570"/>
      <c r="AG12" s="873">
        <v>0.87341008614244353</v>
      </c>
      <c r="AH12" s="573">
        <v>0.18313358842687871</v>
      </c>
      <c r="AI12" s="864">
        <v>0.36626717685375743</v>
      </c>
      <c r="AJ12" s="435" t="s">
        <v>461</v>
      </c>
      <c r="AL12" s="325" t="s">
        <v>101</v>
      </c>
      <c r="AM12" s="322"/>
      <c r="AN12" s="320"/>
      <c r="AO12" s="321"/>
      <c r="AP12" s="321">
        <v>966271.12876046658</v>
      </c>
      <c r="AQ12" s="321">
        <v>4674.2693207673356</v>
      </c>
      <c r="AR12" s="324">
        <v>55500</v>
      </c>
      <c r="AS12" s="321">
        <v>55001.06078682997</v>
      </c>
      <c r="AT12" s="321">
        <v>148.18311552002382</v>
      </c>
      <c r="AU12" s="320"/>
      <c r="AV12" s="320"/>
      <c r="AW12" s="321">
        <v>59.892596749082287</v>
      </c>
      <c r="AX12" s="321">
        <v>58.199304931545676</v>
      </c>
      <c r="AY12" s="321">
        <v>180.1832694136364</v>
      </c>
      <c r="AZ12" s="321">
        <v>183.60810590223159</v>
      </c>
      <c r="BA12" s="322">
        <v>4.1974113312526233</v>
      </c>
      <c r="BB12" s="322">
        <v>6.5013075179982316</v>
      </c>
      <c r="BC12" s="322">
        <v>6.9458252984037809</v>
      </c>
      <c r="BD12" s="321">
        <v>19.478679760687189</v>
      </c>
      <c r="BE12" s="322">
        <v>2.1622885841476069</v>
      </c>
      <c r="BF12" s="322">
        <v>1.7549629738873915</v>
      </c>
      <c r="BG12" s="320"/>
      <c r="BH12" s="322"/>
      <c r="BI12" s="320"/>
      <c r="BJ12" s="320"/>
      <c r="BK12" s="322">
        <v>2.8392504411660942</v>
      </c>
      <c r="BL12" s="322">
        <v>1.1674232062640373</v>
      </c>
      <c r="BM12" s="322">
        <v>9.7451331103217438</v>
      </c>
      <c r="BN12" s="321">
        <v>15.266283604304034</v>
      </c>
      <c r="BO12" s="321">
        <v>30.593719856866148</v>
      </c>
      <c r="BP12" s="320"/>
      <c r="BQ12" s="320"/>
      <c r="BR12" s="320"/>
      <c r="BS12" s="317"/>
      <c r="BT12" s="319">
        <v>44.809001922607393</v>
      </c>
      <c r="BU12" s="318">
        <v>1.1160627404337142</v>
      </c>
      <c r="BV12" s="317"/>
      <c r="BW12" s="316" t="s">
        <v>747</v>
      </c>
    </row>
    <row r="13" spans="1:88" ht="17">
      <c r="A13" s="435" t="s">
        <v>313</v>
      </c>
      <c r="B13" s="435" t="s">
        <v>457</v>
      </c>
      <c r="C13" s="1453">
        <f>AVERAGE(AW$54:AW$58)</f>
        <v>135.004984544801</v>
      </c>
      <c r="D13" s="434">
        <f>STDEV(AW$54:AW$58)</f>
        <v>4.1532704157837417</v>
      </c>
      <c r="E13" s="1453">
        <v>8.3065408315674834</v>
      </c>
      <c r="F13" s="1558">
        <f>AVERAGE(AW$59:AW$63)</f>
        <v>6.4306036963638116</v>
      </c>
      <c r="G13" s="802">
        <f>STDEV(AW$59:AW$63)</f>
        <v>4.6204963239446943</v>
      </c>
      <c r="H13" s="1558">
        <v>9.2409926478893887</v>
      </c>
      <c r="I13" s="1440">
        <f>AVERAGE(AW$64:AW$68)</f>
        <v>4.5562888120062812</v>
      </c>
      <c r="J13" s="434">
        <f>STDEV(AW$64:AW$68)</f>
        <v>1.741709731873599</v>
      </c>
      <c r="K13" s="1440">
        <v>3.483419463747198</v>
      </c>
      <c r="L13" s="1463">
        <v>29.630471226724968</v>
      </c>
      <c r="M13" s="570">
        <v>11.363312435036288</v>
      </c>
      <c r="N13" s="1464">
        <v>22.726624870072577</v>
      </c>
      <c r="O13" s="435">
        <v>0.76</v>
      </c>
      <c r="P13" s="433">
        <v>-2.81</v>
      </c>
      <c r="Q13" s="778">
        <v>0.43961061299999998</v>
      </c>
      <c r="R13" s="570">
        <f t="shared" si="0"/>
        <v>0.21552651924152164</v>
      </c>
      <c r="S13" s="570" cm="1">
        <f t="array" ref="S13:S22">O13:O22*(((1-(2*C46))/(1-C46))^P13:P22)</f>
        <v>43.220962787282971</v>
      </c>
      <c r="T13" s="570" cm="1">
        <f t="array" ref="T13:T22">O13:O22*(((1-(2*C47))/(1-C47))^P13:P22)</f>
        <v>77.602774839214774</v>
      </c>
      <c r="U13" s="570">
        <v>13.491248692150037</v>
      </c>
      <c r="V13" s="570">
        <v>20.890563359781765</v>
      </c>
      <c r="W13" s="888">
        <f t="shared" si="1"/>
        <v>56.712211479433009</v>
      </c>
      <c r="X13" s="573">
        <f t="shared" si="2"/>
        <v>0.52247074225752277</v>
      </c>
      <c r="Y13" s="570">
        <f t="shared" si="3"/>
        <v>0.2003680007992151</v>
      </c>
      <c r="Z13" s="570"/>
      <c r="AA13" s="570"/>
      <c r="AB13" s="868">
        <v>20.994138485184472</v>
      </c>
      <c r="AC13" s="571">
        <v>15.098459842253311</v>
      </c>
      <c r="AD13" s="571">
        <v>30.196919684506621</v>
      </c>
      <c r="AE13" s="721">
        <f>AVERAGE(AW59,AW60,AW61,AW63)/I13</f>
        <v>1.4113687612204304</v>
      </c>
      <c r="AF13" s="570"/>
      <c r="AG13" s="868">
        <v>1.4113687612204304</v>
      </c>
      <c r="AH13" s="571">
        <v>1.1486780111077151</v>
      </c>
      <c r="AI13" s="862">
        <v>2.2973560222154301</v>
      </c>
      <c r="AJ13" s="435" t="s">
        <v>457</v>
      </c>
      <c r="AL13" s="315" t="s">
        <v>934</v>
      </c>
      <c r="AM13" s="340"/>
      <c r="AN13" s="338"/>
      <c r="AO13" s="338"/>
      <c r="AP13" s="341" t="s">
        <v>933</v>
      </c>
      <c r="AQ13" s="339">
        <v>436.22155864229808</v>
      </c>
      <c r="AR13" s="342">
        <v>459</v>
      </c>
      <c r="AS13" s="453" t="s">
        <v>932</v>
      </c>
      <c r="AT13" s="339">
        <v>403.39061269885605</v>
      </c>
      <c r="AU13" s="339"/>
      <c r="AV13" s="339"/>
      <c r="AW13" s="339">
        <v>419.95433375280629</v>
      </c>
      <c r="AX13" s="339">
        <v>383.48077472463245</v>
      </c>
      <c r="AY13" s="339">
        <v>324.57649171592806</v>
      </c>
      <c r="AZ13" s="339">
        <v>399.18840064303964</v>
      </c>
      <c r="BA13" s="339">
        <v>253.43738138798471</v>
      </c>
      <c r="BB13" s="339">
        <v>427.67826644319223</v>
      </c>
      <c r="BC13" s="339">
        <v>326.19693568979443</v>
      </c>
      <c r="BD13" s="339">
        <v>0</v>
      </c>
      <c r="BE13" s="338">
        <v>0.99361246865271402</v>
      </c>
      <c r="BF13" s="340">
        <v>3.4986010522375275</v>
      </c>
      <c r="BG13" s="339"/>
      <c r="BH13" s="340"/>
      <c r="BI13" s="338"/>
      <c r="BJ13" s="338"/>
      <c r="BK13" s="339">
        <v>398.24939534273125</v>
      </c>
      <c r="BL13" s="339">
        <v>54.635530649222453</v>
      </c>
      <c r="BM13" s="338">
        <v>8.9406871119014179E-3</v>
      </c>
      <c r="BN13" s="338">
        <v>9.3753468376314222E-2</v>
      </c>
      <c r="BO13" s="340">
        <v>3.169422095972088</v>
      </c>
      <c r="BP13" s="339"/>
      <c r="BQ13" s="338"/>
      <c r="BR13" s="338"/>
      <c r="BS13" s="336"/>
      <c r="BT13" s="313">
        <v>44.809001922607393</v>
      </c>
      <c r="BU13" s="337">
        <v>2.4250184968395603</v>
      </c>
      <c r="BV13" s="336"/>
      <c r="BW13" s="336" t="s">
        <v>746</v>
      </c>
    </row>
    <row r="14" spans="1:88" ht="17">
      <c r="A14" s="435" t="s">
        <v>313</v>
      </c>
      <c r="B14" s="435" t="s">
        <v>832</v>
      </c>
      <c r="C14" s="434">
        <f>AVERAGE(AX$54:AX$58)</f>
        <v>152.62773389340231</v>
      </c>
      <c r="D14" s="434">
        <f>STDEV(AX$54:AX$58)</f>
        <v>4.6975240385778125</v>
      </c>
      <c r="E14" s="434">
        <v>9.3950480771556251</v>
      </c>
      <c r="F14" s="405">
        <f>AVERAGE(AX$59:AX$63)</f>
        <v>5.876547824632115</v>
      </c>
      <c r="G14" s="405">
        <f>STDEV(AX$59:AX$63)</f>
        <v>5.5665693403618439</v>
      </c>
      <c r="H14" s="405">
        <v>11.133138680723688</v>
      </c>
      <c r="I14" s="405">
        <f>AVERAGE(AX$64:AX$68)</f>
        <v>3.5552405578824677</v>
      </c>
      <c r="J14" s="405">
        <f>STDEV(AX$64:AX$68)</f>
        <v>2.5030802460200863</v>
      </c>
      <c r="K14" s="405">
        <v>5.0061604920401725</v>
      </c>
      <c r="L14" s="1323">
        <v>42.930353490428431</v>
      </c>
      <c r="M14" s="571">
        <v>30.254140326920201</v>
      </c>
      <c r="N14" s="862">
        <v>60.508280653840401</v>
      </c>
      <c r="O14" s="435">
        <v>0.76</v>
      </c>
      <c r="P14" s="433">
        <v>-2.81</v>
      </c>
      <c r="Q14" s="778">
        <v>0.43961061299999998</v>
      </c>
      <c r="R14" s="570">
        <f t="shared" si="0"/>
        <v>0.21552651924152164</v>
      </c>
      <c r="S14" s="570">
        <v>43.220962787282971</v>
      </c>
      <c r="T14" s="570">
        <v>77.602774839214774</v>
      </c>
      <c r="U14" s="570">
        <v>13.491248692150037</v>
      </c>
      <c r="V14" s="570">
        <v>20.890563359781765</v>
      </c>
      <c r="W14" s="888">
        <f t="shared" si="1"/>
        <v>56.712211479433009</v>
      </c>
      <c r="X14" s="573">
        <f t="shared" si="2"/>
        <v>0.75698605944854325</v>
      </c>
      <c r="Y14" s="570">
        <f t="shared" si="3"/>
        <v>0.53346782884479882</v>
      </c>
      <c r="Z14" s="570"/>
      <c r="AA14" s="570"/>
      <c r="AB14" s="868">
        <v>25.97234608619171</v>
      </c>
      <c r="AC14" s="571">
        <v>24.61532935424173</v>
      </c>
      <c r="AD14" s="571">
        <v>49.23065870848346</v>
      </c>
      <c r="AE14" s="570"/>
      <c r="AF14" s="570"/>
      <c r="AG14" s="868">
        <v>1.6529255134657437</v>
      </c>
      <c r="AH14" s="571">
        <v>1.9508563307571496</v>
      </c>
      <c r="AI14" s="862">
        <v>3.9017126615142992</v>
      </c>
      <c r="AJ14" s="435" t="s">
        <v>832</v>
      </c>
      <c r="AL14" s="315" t="s">
        <v>931</v>
      </c>
      <c r="AM14" s="339"/>
      <c r="AN14" s="338"/>
      <c r="AO14" s="338"/>
      <c r="AP14" s="341" t="s">
        <v>930</v>
      </c>
      <c r="AQ14" s="339">
        <v>432.30637264824708</v>
      </c>
      <c r="AR14" s="342">
        <v>459</v>
      </c>
      <c r="AS14" s="453" t="s">
        <v>929</v>
      </c>
      <c r="AT14" s="339">
        <v>395.44948700818765</v>
      </c>
      <c r="AU14" s="339"/>
      <c r="AV14" s="339"/>
      <c r="AW14" s="339">
        <v>408.52028090705375</v>
      </c>
      <c r="AX14" s="339">
        <v>379.87143504948756</v>
      </c>
      <c r="AY14" s="339">
        <v>324.81912551188765</v>
      </c>
      <c r="AZ14" s="339">
        <v>396.93383146194935</v>
      </c>
      <c r="BA14" s="339">
        <v>248.30046817220591</v>
      </c>
      <c r="BB14" s="339">
        <v>415.62767839481069</v>
      </c>
      <c r="BC14" s="339">
        <v>316.87421605092896</v>
      </c>
      <c r="BD14" s="338">
        <v>1.4151749121161756E-2</v>
      </c>
      <c r="BE14" s="340">
        <v>1.0059842335283593</v>
      </c>
      <c r="BF14" s="340">
        <v>3.5570888176330286</v>
      </c>
      <c r="BG14" s="339"/>
      <c r="BH14" s="340"/>
      <c r="BI14" s="338"/>
      <c r="BJ14" s="338"/>
      <c r="BK14" s="339">
        <v>389.38859351830342</v>
      </c>
      <c r="BL14" s="339">
        <v>51.908961841475907</v>
      </c>
      <c r="BM14" s="338">
        <v>4.8051160785842338E-2</v>
      </c>
      <c r="BN14" s="338">
        <v>6.5742128467116995E-2</v>
      </c>
      <c r="BO14" s="340">
        <v>3.3440190117279012</v>
      </c>
      <c r="BP14" s="339"/>
      <c r="BQ14" s="338"/>
      <c r="BR14" s="338"/>
      <c r="BS14" s="336"/>
      <c r="BT14" s="313">
        <v>44.809001922607393</v>
      </c>
      <c r="BU14" s="337">
        <v>2.4899661753467752</v>
      </c>
      <c r="BV14" s="336"/>
      <c r="BW14" s="336" t="s">
        <v>745</v>
      </c>
    </row>
    <row r="15" spans="1:88" ht="17" thickBot="1">
      <c r="A15" s="435" t="s">
        <v>313</v>
      </c>
      <c r="B15" s="435" t="s">
        <v>453</v>
      </c>
      <c r="C15" s="1453">
        <f>AVERAGE(AY$54:AY$58)</f>
        <v>411.89200214335972</v>
      </c>
      <c r="D15" s="434">
        <f>STDEV(AY$54:AY$58)</f>
        <v>67.931956251264097</v>
      </c>
      <c r="E15" s="1453">
        <v>135.86391250252819</v>
      </c>
      <c r="F15" s="1440">
        <f>AVERAGE(AY$59:AY$63)</f>
        <v>16.495682058026077</v>
      </c>
      <c r="G15" s="434">
        <f>STDEV(AY$59:AY$63)</f>
        <v>0.72771820899025796</v>
      </c>
      <c r="H15" s="1440">
        <v>1.4554364179805159</v>
      </c>
      <c r="I15" s="1440">
        <f>AVERAGE(AY$64:AY$68)</f>
        <v>17.870900589536355</v>
      </c>
      <c r="J15" s="434">
        <f>STDEV(AY$64:AY$68)</f>
        <v>2.4293554956178318</v>
      </c>
      <c r="K15" s="1440">
        <v>4.8587109912356636</v>
      </c>
      <c r="L15" s="1463">
        <v>23.048195029663354</v>
      </c>
      <c r="M15" s="570">
        <v>4.9260765434292031</v>
      </c>
      <c r="N15" s="1464">
        <v>9.8521530868584062</v>
      </c>
      <c r="O15" s="435">
        <v>0.63</v>
      </c>
      <c r="P15" s="433">
        <v>-3.23</v>
      </c>
      <c r="Q15" s="778">
        <v>0.43961061299999998</v>
      </c>
      <c r="R15" s="570">
        <f t="shared" si="0"/>
        <v>0.21552651924152164</v>
      </c>
      <c r="S15" s="570">
        <v>65.541556619374035</v>
      </c>
      <c r="T15" s="570">
        <v>128.43734001690748</v>
      </c>
      <c r="U15" s="570">
        <v>24.022393550811273</v>
      </c>
      <c r="V15" s="570">
        <v>38.873389846722176</v>
      </c>
      <c r="W15" s="888">
        <f t="shared" si="1"/>
        <v>89.563950170185308</v>
      </c>
      <c r="X15" s="570">
        <f t="shared" si="2"/>
        <v>0.25733785731723791</v>
      </c>
      <c r="Y15" s="570">
        <f t="shared" si="3"/>
        <v>5.5000661918873588E-2</v>
      </c>
      <c r="Z15" s="570"/>
      <c r="AA15" s="570"/>
      <c r="AB15" s="863">
        <v>24.969686048413568</v>
      </c>
      <c r="AC15" s="570">
        <v>4.26294657118516</v>
      </c>
      <c r="AD15" s="721">
        <v>8.5258931423703199</v>
      </c>
      <c r="AE15" s="570"/>
      <c r="AF15" s="570"/>
      <c r="AG15" s="873">
        <v>0.92304704932914872</v>
      </c>
      <c r="AH15" s="573">
        <v>0.13192035426824281</v>
      </c>
      <c r="AI15" s="864">
        <v>0.26384070853648561</v>
      </c>
      <c r="AJ15" s="435" t="s">
        <v>453</v>
      </c>
    </row>
    <row r="16" spans="1:88" ht="18" customHeight="1">
      <c r="A16" s="435" t="s">
        <v>313</v>
      </c>
      <c r="B16" s="435" t="s">
        <v>449</v>
      </c>
      <c r="C16" s="434">
        <f>AVERAGE(AZ$54:AZ$58)</f>
        <v>376.09879603230303</v>
      </c>
      <c r="D16" s="434">
        <f>STDEV(AZ$54:AZ$58)</f>
        <v>60.275001201184459</v>
      </c>
      <c r="E16" s="434">
        <v>120.55000240236892</v>
      </c>
      <c r="F16" s="405">
        <f>AVERAGE(AZ$59:AZ$63)</f>
        <v>4.0146481100828417</v>
      </c>
      <c r="G16" s="405" t="e">
        <f>STDEV(AZ$59:AZ$63)</f>
        <v>#DIV/0!</v>
      </c>
      <c r="H16" s="405" t="e">
        <v>#DIV/0!</v>
      </c>
      <c r="I16" s="405" t="e">
        <f>AVERAGE(AZ$64:AZ$68)</f>
        <v>#DIV/0!</v>
      </c>
      <c r="J16" s="405" t="e">
        <f>STDEV(AZ$64:AZ$68)</f>
        <v>#DIV/0!</v>
      </c>
      <c r="K16" s="405" t="e">
        <v>#DIV/0!</v>
      </c>
      <c r="L16" s="1323" t="e">
        <v>#DIV/0!</v>
      </c>
      <c r="M16" s="571" t="e">
        <v>#DIV/0!</v>
      </c>
      <c r="N16" s="862" t="e">
        <v>#DIV/0!</v>
      </c>
      <c r="O16" s="435">
        <v>0.63</v>
      </c>
      <c r="P16" s="433">
        <v>-3.23</v>
      </c>
      <c r="Q16" s="778">
        <v>0.43961061299999998</v>
      </c>
      <c r="R16" s="570">
        <f t="shared" si="0"/>
        <v>0.21552651924152164</v>
      </c>
      <c r="S16" s="570">
        <v>65.541556619374035</v>
      </c>
      <c r="T16" s="570">
        <v>128.43734001690748</v>
      </c>
      <c r="U16" s="570">
        <v>24.022393550811273</v>
      </c>
      <c r="V16" s="570">
        <v>38.873389846722176</v>
      </c>
      <c r="W16" s="888">
        <f t="shared" si="1"/>
        <v>89.563950170185308</v>
      </c>
      <c r="X16" s="570" t="e">
        <f t="shared" si="2"/>
        <v>#DIV/0!</v>
      </c>
      <c r="Y16" s="570" t="e">
        <f t="shared" si="3"/>
        <v>#DIV/0!</v>
      </c>
      <c r="Z16" s="570"/>
      <c r="AA16" s="570"/>
      <c r="AB16" s="868">
        <v>93.681634285138443</v>
      </c>
      <c r="AC16" s="571" t="e">
        <v>#DIV/0!</v>
      </c>
      <c r="AD16" s="571" t="e">
        <v>#DIV/0!</v>
      </c>
      <c r="AE16" s="570"/>
      <c r="AF16" s="570"/>
      <c r="AG16" s="868" t="e">
        <v>#DIV/0!</v>
      </c>
      <c r="AH16" s="571" t="e">
        <v>#DIV/0!</v>
      </c>
      <c r="AI16" s="862" t="e">
        <v>#DIV/0!</v>
      </c>
      <c r="AJ16" s="435" t="s">
        <v>449</v>
      </c>
      <c r="AL16" s="1139" t="s">
        <v>902</v>
      </c>
      <c r="AM16" s="1140"/>
      <c r="AN16" s="1140"/>
      <c r="AO16" s="1140"/>
      <c r="AP16" s="1141">
        <v>580014.23573442921</v>
      </c>
      <c r="AQ16" s="1141">
        <v>1156.8301402403358</v>
      </c>
      <c r="AR16" s="1142">
        <v>441400</v>
      </c>
      <c r="AS16" s="1141">
        <v>438281.01309897105</v>
      </c>
      <c r="AT16" s="1141">
        <v>288.72068030964004</v>
      </c>
      <c r="AU16" s="1141"/>
      <c r="AV16" s="1140"/>
      <c r="AW16" s="1141">
        <v>126.05224312600994</v>
      </c>
      <c r="AX16" s="1141">
        <v>128.32846556037805</v>
      </c>
      <c r="AY16" s="1141">
        <v>352.05651449564994</v>
      </c>
      <c r="AZ16" s="1141">
        <v>392.81108411661967</v>
      </c>
      <c r="BA16" s="1141">
        <v>296.89943319784209</v>
      </c>
      <c r="BB16" s="1141">
        <v>292.14883115935351</v>
      </c>
      <c r="BC16" s="1141">
        <v>223.57407044399517</v>
      </c>
      <c r="BD16" s="1141">
        <v>372.75522904783213</v>
      </c>
      <c r="BE16" s="1141">
        <v>286.50864332626537</v>
      </c>
      <c r="BF16" s="1141">
        <v>154.03854379448083</v>
      </c>
      <c r="BG16" s="1141"/>
      <c r="BH16" s="1140"/>
      <c r="BI16" s="1140"/>
      <c r="BJ16" s="1140"/>
      <c r="BK16" s="1141">
        <v>151.56080694527299</v>
      </c>
      <c r="BL16" s="1141">
        <v>243.89365225819085</v>
      </c>
      <c r="BM16" s="1141">
        <v>177.60020820115631</v>
      </c>
      <c r="BN16" s="1141">
        <v>139.86256136139141</v>
      </c>
      <c r="BO16" s="1141">
        <v>287.49703729954808</v>
      </c>
      <c r="BP16" s="1141"/>
      <c r="BQ16" s="1140"/>
      <c r="BR16" s="1140"/>
      <c r="BS16" s="1143"/>
      <c r="BT16" s="1144">
        <v>42.093000411987298</v>
      </c>
      <c r="BU16" s="1145">
        <v>0.86392219702553263</v>
      </c>
      <c r="BV16" s="1143"/>
      <c r="BW16" s="1146" t="s">
        <v>899</v>
      </c>
      <c r="CC16" s="583" t="s">
        <v>928</v>
      </c>
      <c r="CD16" s="582"/>
      <c r="CE16" s="582"/>
      <c r="CF16" s="582"/>
      <c r="CG16" s="582"/>
      <c r="CH16" s="582"/>
      <c r="CI16" s="582"/>
      <c r="CJ16" s="582"/>
    </row>
    <row r="17" spans="1:75" ht="17">
      <c r="A17" s="435" t="s">
        <v>313</v>
      </c>
      <c r="B17" s="435" t="s">
        <v>13</v>
      </c>
      <c r="C17" s="1453">
        <f>AVERAGE(BA$54:BA$58)</f>
        <v>398.60769946713634</v>
      </c>
      <c r="D17" s="434">
        <f>STDEV(BA$54:BA$58)</f>
        <v>18.058965371836649</v>
      </c>
      <c r="E17" s="1453">
        <v>36.117930743673298</v>
      </c>
      <c r="F17" s="405">
        <f>AVERAGE(BA$59:BA$63)</f>
        <v>0.35496527664099364</v>
      </c>
      <c r="G17" s="405" t="e">
        <f>STDEV(BA$59:BA$63)</f>
        <v>#DIV/0!</v>
      </c>
      <c r="H17" s="405" t="e">
        <v>#DIV/0!</v>
      </c>
      <c r="I17" s="1453">
        <f>AVERAGE(BA$64:BA$68)</f>
        <v>47.664236787449376</v>
      </c>
      <c r="J17" s="434">
        <f>STDEV(BA$64:BA$68)</f>
        <v>2.1117836158830845</v>
      </c>
      <c r="K17" s="1453">
        <v>4.223567231766169</v>
      </c>
      <c r="L17" s="1463">
        <v>8.362825596991307</v>
      </c>
      <c r="M17" s="570">
        <v>0.52993678430880997</v>
      </c>
      <c r="N17" s="879">
        <v>1.0598735686176199</v>
      </c>
      <c r="O17" s="435">
        <v>0.23</v>
      </c>
      <c r="P17" s="433">
        <v>-2</v>
      </c>
      <c r="Q17" s="778">
        <v>0.43961061299999998</v>
      </c>
      <c r="R17" s="570">
        <f t="shared" si="0"/>
        <v>0.21552651924152164</v>
      </c>
      <c r="S17" s="570">
        <v>4.0808755263263006</v>
      </c>
      <c r="T17" s="570">
        <v>6.189654143952235</v>
      </c>
      <c r="U17" s="570">
        <v>0.87050615765805706</v>
      </c>
      <c r="V17" s="570">
        <v>1.2382724599678774</v>
      </c>
      <c r="W17" s="888">
        <f t="shared" si="1"/>
        <v>4.9513816839843576</v>
      </c>
      <c r="X17" s="570">
        <f t="shared" si="2"/>
        <v>1.6889882725142236</v>
      </c>
      <c r="Y17" s="570">
        <f t="shared" si="3"/>
        <v>0.10702806168688897</v>
      </c>
      <c r="Z17" s="570"/>
      <c r="AA17" s="570"/>
      <c r="AB17" s="868">
        <v>1122.9484281931102</v>
      </c>
      <c r="AC17" s="571" t="e">
        <v>#DIV/0!</v>
      </c>
      <c r="AD17" s="571" t="e">
        <v>#DIV/0!</v>
      </c>
      <c r="AE17" s="570">
        <f>AVERAGE(0.44,0.34,0.31,0.3,BA63)/I17</f>
        <v>7.321905874303084E-3</v>
      </c>
      <c r="AF17" s="570"/>
      <c r="AG17" s="868">
        <v>7.4472036177543645E-3</v>
      </c>
      <c r="AH17" s="571" t="e">
        <v>#DIV/0!</v>
      </c>
      <c r="AI17" s="862" t="e">
        <v>#DIV/0!</v>
      </c>
      <c r="AJ17" s="435" t="s">
        <v>13</v>
      </c>
      <c r="AL17" s="1147" t="s">
        <v>898</v>
      </c>
      <c r="AM17" s="1148"/>
      <c r="AN17" s="1149"/>
      <c r="AO17" s="1149"/>
      <c r="AP17" s="1148">
        <v>586579.43826305796</v>
      </c>
      <c r="AQ17" s="1148">
        <v>1088.282611898408</v>
      </c>
      <c r="AR17" s="1150">
        <v>441400</v>
      </c>
      <c r="AS17" s="1148">
        <v>447207.12395338353</v>
      </c>
      <c r="AT17" s="1148">
        <v>293.12323696505467</v>
      </c>
      <c r="AU17" s="1148"/>
      <c r="AV17" s="1151"/>
      <c r="AW17" s="1148">
        <v>124.90520555897974</v>
      </c>
      <c r="AX17" s="1148">
        <v>129.43709092594426</v>
      </c>
      <c r="AY17" s="1148">
        <v>250.67925834804393</v>
      </c>
      <c r="AZ17" s="1148">
        <v>273.88369274726557</v>
      </c>
      <c r="BA17" s="1148">
        <v>314.14085163245778</v>
      </c>
      <c r="BB17" s="1148">
        <v>283.4723136778627</v>
      </c>
      <c r="BC17" s="1148">
        <v>220.80799780795053</v>
      </c>
      <c r="BD17" s="1148">
        <v>263.79484978627318</v>
      </c>
      <c r="BE17" s="1148">
        <v>247.15663396300423</v>
      </c>
      <c r="BF17" s="1148">
        <v>144.63055362832404</v>
      </c>
      <c r="BG17" s="1148"/>
      <c r="BH17" s="1151"/>
      <c r="BI17" s="1151"/>
      <c r="BJ17" s="1151"/>
      <c r="BK17" s="1148">
        <v>134.76608166173182</v>
      </c>
      <c r="BL17" s="1148">
        <v>29.973792499405185</v>
      </c>
      <c r="BM17" s="1148">
        <v>93.726568891993224</v>
      </c>
      <c r="BN17" s="1148">
        <v>73.526466263517548</v>
      </c>
      <c r="BO17" s="1148">
        <v>196.30781708082861</v>
      </c>
      <c r="BP17" s="1148"/>
      <c r="BQ17" s="1151"/>
      <c r="BR17" s="1151"/>
      <c r="BS17" s="1152"/>
      <c r="BT17" s="1153">
        <v>43.451002120971694</v>
      </c>
      <c r="BU17" s="1154">
        <v>0.926883840225185</v>
      </c>
      <c r="BV17" s="1152"/>
      <c r="BW17" s="1155" t="s">
        <v>895</v>
      </c>
    </row>
    <row r="18" spans="1:75" ht="17">
      <c r="A18" s="435" t="s">
        <v>313</v>
      </c>
      <c r="B18" s="435" t="s">
        <v>443</v>
      </c>
      <c r="C18" s="1453">
        <f>AVERAGE(BB$54:BB$58)</f>
        <v>289.30117497475885</v>
      </c>
      <c r="D18" s="434">
        <f>STDEV(BB$54:BB$58)</f>
        <v>4.9155564463771357</v>
      </c>
      <c r="E18" s="1453">
        <v>9.8311128927542715</v>
      </c>
      <c r="F18" s="1453">
        <f>AVERAGE(BB$59:BB$63)</f>
        <v>315.35270078063581</v>
      </c>
      <c r="G18" s="434">
        <f>STDEV(BB$59:BB$63)</f>
        <v>5.8187963493026595</v>
      </c>
      <c r="H18" s="1453">
        <v>11.637592698605319</v>
      </c>
      <c r="I18" s="1453">
        <f>AVERAGE(BB$64:BB$68)</f>
        <v>212.26479338337921</v>
      </c>
      <c r="J18" s="434">
        <f>STDEV(BB$64:BB$68)</f>
        <v>52.249599288881157</v>
      </c>
      <c r="K18" s="1453">
        <v>104.49919857776231</v>
      </c>
      <c r="L18" s="930">
        <v>1.3629258548413228</v>
      </c>
      <c r="M18" s="570">
        <v>0.33628648209575313</v>
      </c>
      <c r="N18" s="879">
        <v>0.67257296419150625</v>
      </c>
      <c r="O18" s="435">
        <v>0.67</v>
      </c>
      <c r="P18" s="433">
        <v>-1.33</v>
      </c>
      <c r="Q18" s="778">
        <v>0.43961061299999998</v>
      </c>
      <c r="R18" s="570">
        <f t="shared" si="0"/>
        <v>0.21552651924152164</v>
      </c>
      <c r="S18" s="570">
        <v>4.5360388794104844</v>
      </c>
      <c r="T18" s="570">
        <v>5.9838946146458696</v>
      </c>
      <c r="U18" s="570">
        <v>0.62240668131985188</v>
      </c>
      <c r="V18" s="570">
        <v>0.82544905391553325</v>
      </c>
      <c r="W18" s="888">
        <f t="shared" si="1"/>
        <v>5.1584455607303363</v>
      </c>
      <c r="X18" s="570">
        <f t="shared" si="2"/>
        <v>0.26421251107443283</v>
      </c>
      <c r="Y18" s="570">
        <f t="shared" si="3"/>
        <v>6.5191437640788344E-2</v>
      </c>
      <c r="Z18" s="570"/>
      <c r="AA18" s="570"/>
      <c r="AB18" s="885">
        <v>0.91738924150201329</v>
      </c>
      <c r="AC18" s="570">
        <v>2.3011011251612628E-2</v>
      </c>
      <c r="AD18" s="573">
        <v>4.6022022503225256E-2</v>
      </c>
      <c r="AE18" s="570"/>
      <c r="AF18" s="570"/>
      <c r="AG18" s="873">
        <v>1.4856571160675984</v>
      </c>
      <c r="AH18" s="573">
        <v>0.36672484284204515</v>
      </c>
      <c r="AI18" s="864">
        <v>0.7334496856840903</v>
      </c>
      <c r="AJ18" s="435" t="s">
        <v>443</v>
      </c>
      <c r="AL18" s="1147" t="s">
        <v>894</v>
      </c>
      <c r="AM18" s="1148"/>
      <c r="AN18" s="1149"/>
      <c r="AO18" s="1149"/>
      <c r="AP18" s="1148">
        <v>551139.99342733179</v>
      </c>
      <c r="AQ18" s="1148">
        <v>1045.0604863834124</v>
      </c>
      <c r="AR18" s="1150">
        <v>441400</v>
      </c>
      <c r="AS18" s="1148">
        <v>443828.21540576074</v>
      </c>
      <c r="AT18" s="1148">
        <v>276.11932517816342</v>
      </c>
      <c r="AU18" s="1148"/>
      <c r="AV18" s="1151"/>
      <c r="AW18" s="1148">
        <v>128.29860365497123</v>
      </c>
      <c r="AX18" s="1148">
        <v>132.63046082313755</v>
      </c>
      <c r="AY18" s="1148">
        <v>242.1595419828121</v>
      </c>
      <c r="AZ18" s="1148">
        <v>269.97722580531888</v>
      </c>
      <c r="BA18" s="1148">
        <v>275.04858862597536</v>
      </c>
      <c r="BB18" s="1148">
        <v>278.62131500181766</v>
      </c>
      <c r="BC18" s="1148">
        <v>225.646763417123</v>
      </c>
      <c r="BD18" s="1148">
        <v>303.1032268791796</v>
      </c>
      <c r="BE18" s="1148">
        <v>245.74628350612699</v>
      </c>
      <c r="BF18" s="1148">
        <v>145.71149711740344</v>
      </c>
      <c r="BG18" s="1148"/>
      <c r="BH18" s="1151"/>
      <c r="BI18" s="1151"/>
      <c r="BJ18" s="1151"/>
      <c r="BK18" s="1148">
        <v>159.97442454235562</v>
      </c>
      <c r="BL18" s="1148">
        <v>60.025449382983354</v>
      </c>
      <c r="BM18" s="1148">
        <v>164.3682349261465</v>
      </c>
      <c r="BN18" s="1148">
        <v>164.18367252427808</v>
      </c>
      <c r="BO18" s="1148">
        <v>269.18403244779938</v>
      </c>
      <c r="BP18" s="1148"/>
      <c r="BQ18" s="1151"/>
      <c r="BR18" s="1151"/>
      <c r="BS18" s="1152"/>
      <c r="BT18" s="1153">
        <v>42.772001266479492</v>
      </c>
      <c r="BU18" s="1154">
        <v>0.73082959775166723</v>
      </c>
      <c r="BV18" s="1152"/>
      <c r="BW18" s="1155" t="s">
        <v>891</v>
      </c>
    </row>
    <row r="19" spans="1:75" ht="17">
      <c r="A19" s="435" t="s">
        <v>313</v>
      </c>
      <c r="B19" s="435" t="s">
        <v>831</v>
      </c>
      <c r="C19" s="434">
        <f>AVERAGE(BC$54:BC$58)</f>
        <v>290.98587967796476</v>
      </c>
      <c r="D19" s="434">
        <f>STDEV(BC$54:BC$58)</f>
        <v>10.634875616112735</v>
      </c>
      <c r="E19" s="434">
        <v>21.26975123222547</v>
      </c>
      <c r="F19" s="434">
        <f>AVERAGE(BC$59:BC$63)</f>
        <v>316.15069252544328</v>
      </c>
      <c r="G19" s="434">
        <f>STDEV(BC$59:BC$63)</f>
        <v>7.5376810030136019</v>
      </c>
      <c r="H19" s="434">
        <v>15.075362006027204</v>
      </c>
      <c r="I19" s="434">
        <f>AVERAGE(BC$64:BC$68)</f>
        <v>215.29398681886443</v>
      </c>
      <c r="J19" s="434">
        <f>STDEV(BC$64:BC$68)</f>
        <v>51.94265262857882</v>
      </c>
      <c r="K19" s="434">
        <v>103.88530525715764</v>
      </c>
      <c r="L19" s="930">
        <v>1.3515745793809977</v>
      </c>
      <c r="M19" s="570">
        <v>0.32980628317684235</v>
      </c>
      <c r="N19" s="879">
        <v>0.6596125663536847</v>
      </c>
      <c r="O19" s="435">
        <v>0.67</v>
      </c>
      <c r="P19" s="433">
        <v>-1.33</v>
      </c>
      <c r="Q19" s="778">
        <v>0.43961061299999998</v>
      </c>
      <c r="R19" s="570">
        <f t="shared" si="0"/>
        <v>0.21552651924152164</v>
      </c>
      <c r="S19" s="570">
        <v>4.5360388794104844</v>
      </c>
      <c r="T19" s="570">
        <v>5.9838946146458696</v>
      </c>
      <c r="U19" s="570">
        <v>0.62240668131985188</v>
      </c>
      <c r="V19" s="570">
        <v>0.82544905391553325</v>
      </c>
      <c r="W19" s="888">
        <f t="shared" si="1"/>
        <v>5.1584455607303363</v>
      </c>
      <c r="X19" s="570">
        <f t="shared" si="2"/>
        <v>0.26201198858627495</v>
      </c>
      <c r="Y19" s="570">
        <f t="shared" si="3"/>
        <v>6.3935206700164948E-2</v>
      </c>
      <c r="Z19" s="570"/>
      <c r="AA19" s="570"/>
      <c r="AB19" s="885">
        <v>0.92040247438188583</v>
      </c>
      <c r="AC19" s="570">
        <v>4.0163526536327918E-2</v>
      </c>
      <c r="AD19" s="573">
        <v>8.0327053072655835E-2</v>
      </c>
      <c r="AE19" s="570"/>
      <c r="AF19" s="570"/>
      <c r="AG19" s="873">
        <v>1.468460393143417</v>
      </c>
      <c r="AH19" s="573">
        <v>0.35601210598327587</v>
      </c>
      <c r="AI19" s="864">
        <v>0.71202421196655175</v>
      </c>
      <c r="AJ19" s="435" t="s">
        <v>831</v>
      </c>
      <c r="AL19" s="1147" t="s">
        <v>890</v>
      </c>
      <c r="AM19" s="1148"/>
      <c r="AN19" s="1149"/>
      <c r="AO19" s="1149"/>
      <c r="AP19" s="1148">
        <v>578547.56915748375</v>
      </c>
      <c r="AQ19" s="1148">
        <v>1150.8809896481878</v>
      </c>
      <c r="AR19" s="1150">
        <v>441400</v>
      </c>
      <c r="AS19" s="1148">
        <v>447400.62307655625</v>
      </c>
      <c r="AT19" s="1148">
        <v>280.4236452620201</v>
      </c>
      <c r="AU19" s="1148"/>
      <c r="AV19" s="1151"/>
      <c r="AW19" s="1148">
        <v>133.34223787699202</v>
      </c>
      <c r="AX19" s="1148">
        <v>135.83862313912263</v>
      </c>
      <c r="AY19" s="1148">
        <v>333.0349846410881</v>
      </c>
      <c r="AZ19" s="1148">
        <v>352.91639327311418</v>
      </c>
      <c r="BA19" s="1148">
        <v>295.90942017508786</v>
      </c>
      <c r="BB19" s="1148">
        <v>281.45807426592722</v>
      </c>
      <c r="BC19" s="1148">
        <v>240.29812883917873</v>
      </c>
      <c r="BD19" s="1148">
        <v>342.4882504005559</v>
      </c>
      <c r="BE19" s="1148">
        <v>273.29716420755943</v>
      </c>
      <c r="BF19" s="1148">
        <v>147.39412982747623</v>
      </c>
      <c r="BG19" s="1148"/>
      <c r="BH19" s="1151"/>
      <c r="BI19" s="1151"/>
      <c r="BJ19" s="1151"/>
      <c r="BK19" s="1148">
        <v>146.82748116557721</v>
      </c>
      <c r="BL19" s="1148">
        <v>97.736548204530962</v>
      </c>
      <c r="BM19" s="1148">
        <v>123.99589456932175</v>
      </c>
      <c r="BN19" s="1148">
        <v>142.28411660742293</v>
      </c>
      <c r="BO19" s="1148">
        <v>258.9290896145618</v>
      </c>
      <c r="BP19" s="1148"/>
      <c r="BQ19" s="1151"/>
      <c r="BR19" s="1151"/>
      <c r="BS19" s="1152"/>
      <c r="BT19" s="1153">
        <v>43.451002120971694</v>
      </c>
      <c r="BU19" s="1154">
        <v>0.82261513829276323</v>
      </c>
      <c r="BV19" s="1152"/>
      <c r="BW19" s="1155" t="s">
        <v>888</v>
      </c>
    </row>
    <row r="20" spans="1:75" ht="17">
      <c r="A20" s="407" t="s">
        <v>270</v>
      </c>
      <c r="B20" s="407" t="s">
        <v>440</v>
      </c>
      <c r="C20" s="1455">
        <f>AVERAGE(BD$16:BD$20)</f>
        <v>315.64747793298744</v>
      </c>
      <c r="D20" s="438">
        <f>STDEV(BD$16:BD$20)</f>
        <v>42.455984213974588</v>
      </c>
      <c r="E20" s="1455">
        <v>84.911968427949176</v>
      </c>
      <c r="F20" s="438">
        <f>AVERAGE(BD$21:BD$25)</f>
        <v>0.28179071126134281</v>
      </c>
      <c r="G20" s="438">
        <f>STDEV(BD$21:BD$25)</f>
        <v>6.4200091283600866E-2</v>
      </c>
      <c r="H20" s="438">
        <v>0.12840018256720173</v>
      </c>
      <c r="I20" s="1454">
        <f>AVERAGE(BD$26:BD$30)</f>
        <v>2.8727034559800182</v>
      </c>
      <c r="J20" s="438">
        <f>STDEV(BE$26:BE$30)</f>
        <v>1.4121674265366111</v>
      </c>
      <c r="K20" s="1454">
        <v>2.8243348530732222</v>
      </c>
      <c r="L20" s="1332">
        <v>109.87819758280787</v>
      </c>
      <c r="M20" s="871">
        <v>55.999481318403767</v>
      </c>
      <c r="N20" s="872">
        <v>111.99896263680753</v>
      </c>
      <c r="O20" s="407">
        <v>1.18</v>
      </c>
      <c r="P20" s="404">
        <v>-3.89</v>
      </c>
      <c r="Q20" s="779">
        <v>0.43961061299999998</v>
      </c>
      <c r="R20" s="749">
        <f t="shared" si="0"/>
        <v>0.21552651924152164</v>
      </c>
      <c r="S20" s="749">
        <v>317.12948961781217</v>
      </c>
      <c r="T20" s="749">
        <v>713.0376807264231</v>
      </c>
      <c r="U20" s="749">
        <v>144.78780775718741</v>
      </c>
      <c r="V20" s="749">
        <v>251.12038335142353</v>
      </c>
      <c r="W20" s="889">
        <f t="shared" si="1"/>
        <v>461.91729737499958</v>
      </c>
      <c r="X20" s="749">
        <f t="shared" si="2"/>
        <v>0.23787417835882677</v>
      </c>
      <c r="Y20" s="749">
        <f t="shared" si="3"/>
        <v>0.12123270039169275</v>
      </c>
      <c r="Z20" s="749"/>
      <c r="AA20" s="749"/>
      <c r="AB20" s="877">
        <v>1120.1486256239464</v>
      </c>
      <c r="AC20" s="732">
        <v>296.35815071086023</v>
      </c>
      <c r="AD20" s="732">
        <v>592.71630142172046</v>
      </c>
      <c r="AE20" s="749"/>
      <c r="AF20" s="749"/>
      <c r="AG20" s="868">
        <v>9.8092516536904553E-2</v>
      </c>
      <c r="AH20" s="571">
        <v>5.3147523367448955E-2</v>
      </c>
      <c r="AI20" s="862">
        <v>0.10629504673489791</v>
      </c>
      <c r="AJ20" s="407" t="s">
        <v>440</v>
      </c>
      <c r="AL20" s="1147" t="s">
        <v>887</v>
      </c>
      <c r="AM20" s="1148"/>
      <c r="AN20" s="1148"/>
      <c r="AO20" s="1148"/>
      <c r="AP20" s="1148">
        <v>567211.32669274276</v>
      </c>
      <c r="AQ20" s="1148">
        <v>1111.0150598739754</v>
      </c>
      <c r="AR20" s="1150">
        <v>441400</v>
      </c>
      <c r="AS20" s="1148">
        <v>444180.84006050444</v>
      </c>
      <c r="AT20" s="1148">
        <v>268.98269354345092</v>
      </c>
      <c r="AU20" s="1148"/>
      <c r="AV20" s="1151"/>
      <c r="AW20" s="1148">
        <v>123.62379117148656</v>
      </c>
      <c r="AX20" s="1148">
        <v>126.11198185159961</v>
      </c>
      <c r="AY20" s="1148">
        <v>289.70859009690349</v>
      </c>
      <c r="AZ20" s="1148">
        <v>321.72545562110719</v>
      </c>
      <c r="BA20" s="1148">
        <v>287.18732633412895</v>
      </c>
      <c r="BB20" s="1148">
        <v>273.19411942516496</v>
      </c>
      <c r="BC20" s="1148">
        <v>219.554900841174</v>
      </c>
      <c r="BD20" s="1148">
        <v>296.09583355109635</v>
      </c>
      <c r="BE20" s="1148">
        <v>259.32330523218718</v>
      </c>
      <c r="BF20" s="1148">
        <v>150.01727795143179</v>
      </c>
      <c r="BG20" s="1148"/>
      <c r="BH20" s="1151"/>
      <c r="BI20" s="1151"/>
      <c r="BJ20" s="1151"/>
      <c r="BK20" s="1148">
        <v>129.05565452975239</v>
      </c>
      <c r="BL20" s="1148">
        <v>37.033126397539284</v>
      </c>
      <c r="BM20" s="1148">
        <v>20.989918539507396</v>
      </c>
      <c r="BN20" s="1148">
        <v>34.947442746335547</v>
      </c>
      <c r="BO20" s="1148">
        <v>153.43343025832823</v>
      </c>
      <c r="BP20" s="1148"/>
      <c r="BQ20" s="1151"/>
      <c r="BR20" s="1151"/>
      <c r="BS20" s="1152"/>
      <c r="BT20" s="1153">
        <v>44.8090019226075</v>
      </c>
      <c r="BU20" s="1154">
        <v>0.83923291935528921</v>
      </c>
      <c r="BV20" s="1152"/>
      <c r="BW20" s="1155" t="s">
        <v>884</v>
      </c>
    </row>
    <row r="21" spans="1:75" ht="17">
      <c r="A21" s="814" t="s">
        <v>270</v>
      </c>
      <c r="B21" s="407" t="s">
        <v>16</v>
      </c>
      <c r="C21" s="1455">
        <f>AVERAGE(BE$16:BE$20)</f>
        <v>262.40640604702867</v>
      </c>
      <c r="D21" s="438">
        <f>STDEV(BE$16:BE$20)</f>
        <v>17.458144213395236</v>
      </c>
      <c r="E21" s="1455">
        <v>34.916288426790473</v>
      </c>
      <c r="F21" s="438">
        <f>AVERAGE(BE$21:BE$25)</f>
        <v>5.6829588016691156E-2</v>
      </c>
      <c r="G21" s="438">
        <f>STDEV(BE$21:BE$25)</f>
        <v>9.4241255463758927E-3</v>
      </c>
      <c r="H21" s="438">
        <v>1.8848251092751785E-2</v>
      </c>
      <c r="I21" s="1454">
        <f>AVERAGE(BE$26:BE$30)</f>
        <v>3.7695645755248486</v>
      </c>
      <c r="J21" s="438">
        <f>STDEV(BE$26:BE$30)</f>
        <v>1.4121674265366111</v>
      </c>
      <c r="K21" s="1454">
        <v>2.8243348530732222</v>
      </c>
      <c r="L21" s="1499">
        <v>69.61186120826514</v>
      </c>
      <c r="M21" s="749">
        <v>26.486295320252282</v>
      </c>
      <c r="N21" s="1498">
        <v>52.972590640504563</v>
      </c>
      <c r="O21" s="407">
        <v>0.97</v>
      </c>
      <c r="P21" s="404">
        <v>-2.66</v>
      </c>
      <c r="Q21" s="779">
        <v>0.43961061299999998</v>
      </c>
      <c r="R21" s="749">
        <f t="shared" si="0"/>
        <v>0.21552651924152164</v>
      </c>
      <c r="S21" s="749">
        <v>44.460635451231497</v>
      </c>
      <c r="T21" s="749">
        <v>77.373100727137896</v>
      </c>
      <c r="U21" s="749">
        <v>13.038303699866646</v>
      </c>
      <c r="V21" s="749">
        <v>19.874161576039754</v>
      </c>
      <c r="W21" s="889">
        <f t="shared" si="1"/>
        <v>57.498939151098142</v>
      </c>
      <c r="X21" s="749">
        <f t="shared" si="2"/>
        <v>1.2106634006818133</v>
      </c>
      <c r="Y21" s="749">
        <f t="shared" si="3"/>
        <v>0.4606397215546964</v>
      </c>
      <c r="Z21" s="749"/>
      <c r="AA21" s="749"/>
      <c r="AB21" s="877">
        <v>4617.4258023823522</v>
      </c>
      <c r="AC21" s="732">
        <v>825.03969977421889</v>
      </c>
      <c r="AD21" s="732">
        <v>1650.0793995484378</v>
      </c>
      <c r="AE21" s="749"/>
      <c r="AF21" s="749"/>
      <c r="AG21" s="1491">
        <v>1.507590250228797E-2</v>
      </c>
      <c r="AH21" s="779">
        <v>6.176389227992715E-3</v>
      </c>
      <c r="AI21" s="1500">
        <v>1.235277845598543E-2</v>
      </c>
      <c r="AJ21" s="407" t="s">
        <v>16</v>
      </c>
      <c r="AL21" s="1156" t="s">
        <v>883</v>
      </c>
      <c r="AM21" s="1157"/>
      <c r="AN21" s="1157"/>
      <c r="AO21" s="1157"/>
      <c r="AP21" s="1157">
        <v>635788.39230995381</v>
      </c>
      <c r="AQ21" s="1157">
        <v>110.38140994302069</v>
      </c>
      <c r="AR21" s="1158">
        <v>17900</v>
      </c>
      <c r="AS21" s="1157">
        <v>18161.948765791436</v>
      </c>
      <c r="AT21" s="1157">
        <v>193.779894714596</v>
      </c>
      <c r="AU21" s="1157"/>
      <c r="AV21" s="1159"/>
      <c r="AW21" s="1159">
        <v>5.985452955138145</v>
      </c>
      <c r="AX21" s="1159">
        <v>5.9583811903837622</v>
      </c>
      <c r="AY21" s="1157">
        <v>11.83907953274751</v>
      </c>
      <c r="AZ21" s="1160" t="s">
        <v>927</v>
      </c>
      <c r="BA21" s="1161" t="s">
        <v>632</v>
      </c>
      <c r="BB21" s="1157">
        <v>304.47723586928282</v>
      </c>
      <c r="BC21" s="1157">
        <v>250.51115850347725</v>
      </c>
      <c r="BD21" s="1162">
        <v>0.28095400654818387</v>
      </c>
      <c r="BE21" s="1162">
        <v>5.0286984795717915E-2</v>
      </c>
      <c r="BF21" s="1162">
        <v>0.12105957767058172</v>
      </c>
      <c r="BG21" s="1157"/>
      <c r="BH21" s="1162"/>
      <c r="BI21" s="1162"/>
      <c r="BJ21" s="1162"/>
      <c r="BK21" s="1159">
        <v>3.7865896736383107</v>
      </c>
      <c r="BL21" s="1160" t="s">
        <v>239</v>
      </c>
      <c r="BM21" s="1387">
        <v>9.5672781136756212E-3</v>
      </c>
      <c r="BN21" s="1160" t="s">
        <v>58</v>
      </c>
      <c r="BO21" s="1160" t="s">
        <v>58</v>
      </c>
      <c r="BP21" s="1162"/>
      <c r="BQ21" s="1162"/>
      <c r="BR21" s="1162"/>
      <c r="BS21" s="1163"/>
      <c r="BT21" s="1164">
        <v>40.057003021240298</v>
      </c>
      <c r="BU21" s="1165">
        <v>5.1177979589360456</v>
      </c>
      <c r="BV21" s="1163"/>
      <c r="BW21" s="1166" t="s">
        <v>876</v>
      </c>
    </row>
    <row r="22" spans="1:75" ht="17">
      <c r="A22" s="407" t="s">
        <v>270</v>
      </c>
      <c r="B22" s="407" t="s">
        <v>435</v>
      </c>
      <c r="C22" s="1455">
        <f>AVERAGE(BF$16:BF$20)</f>
        <v>148.35840046382324</v>
      </c>
      <c r="D22" s="438">
        <f>STDEV(BF$16:BF$20)</f>
        <v>3.769902518303994</v>
      </c>
      <c r="E22" s="1455">
        <v>7.5398050366079881</v>
      </c>
      <c r="F22" s="438">
        <f>AVERAGE(BF$21:BF$25)</f>
        <v>0.12580360434498666</v>
      </c>
      <c r="G22" s="438">
        <f>STDEV(BF$21:BF$25)</f>
        <v>4.3646122346284705E-2</v>
      </c>
      <c r="H22" s="438">
        <v>8.729224469256941E-2</v>
      </c>
      <c r="I22" s="1455">
        <f>AVERAGE(BF$26:BF$30)</f>
        <v>42.039252322478269</v>
      </c>
      <c r="J22" s="438">
        <f>STDEV(BF$26:BF$30)</f>
        <v>2.5476241600149518</v>
      </c>
      <c r="K22" s="1455">
        <v>5.0952483200299037</v>
      </c>
      <c r="L22" s="1499">
        <v>3.5290446967463414</v>
      </c>
      <c r="M22" s="749">
        <v>0.23190412509682723</v>
      </c>
      <c r="N22" s="1498">
        <v>0.46380825019365446</v>
      </c>
      <c r="O22" s="407">
        <v>0.54</v>
      </c>
      <c r="P22" s="404">
        <v>-0.70699999999999996</v>
      </c>
      <c r="Q22" s="779">
        <v>0.43961061299999998</v>
      </c>
      <c r="R22" s="749">
        <f t="shared" si="0"/>
        <v>0.21552651924152164</v>
      </c>
      <c r="S22" s="749">
        <v>1.4925341554530696</v>
      </c>
      <c r="T22" s="749">
        <v>1.7293266573784865</v>
      </c>
      <c r="U22" s="749">
        <v>0.10558351757120099</v>
      </c>
      <c r="V22" s="749">
        <v>0.13120898435421591</v>
      </c>
      <c r="W22" s="889">
        <f t="shared" si="1"/>
        <v>1.5981176730242705</v>
      </c>
      <c r="X22" s="749">
        <f t="shared" si="2"/>
        <v>2.2082508417968958</v>
      </c>
      <c r="Y22" s="749">
        <f t="shared" si="3"/>
        <v>0.14511079441226185</v>
      </c>
      <c r="Z22" s="749"/>
      <c r="AA22" s="749"/>
      <c r="AB22" s="877">
        <v>1179.2857703582592</v>
      </c>
      <c r="AC22" s="732">
        <v>410.23566754097908</v>
      </c>
      <c r="AD22" s="732">
        <v>820.47133508195816</v>
      </c>
      <c r="AE22" s="749"/>
      <c r="AF22" s="749"/>
      <c r="AG22" s="1502">
        <v>2.9925271596164863E-3</v>
      </c>
      <c r="AH22" s="1503">
        <v>1.0539426648845259E-3</v>
      </c>
      <c r="AI22" s="1504">
        <v>2.1078853297690518E-3</v>
      </c>
      <c r="AJ22" s="407" t="s">
        <v>435</v>
      </c>
      <c r="AL22" s="1167" t="s">
        <v>881</v>
      </c>
      <c r="AM22" s="1168"/>
      <c r="AN22" s="1168"/>
      <c r="AO22" s="1168"/>
      <c r="AP22" s="1169">
        <v>639316.66807013366</v>
      </c>
      <c r="AQ22" s="1169">
        <v>113.79186202564601</v>
      </c>
      <c r="AR22" s="1170">
        <v>17900</v>
      </c>
      <c r="AS22" s="1169">
        <v>18134.530507838153</v>
      </c>
      <c r="AT22" s="1169">
        <v>195.74745573297935</v>
      </c>
      <c r="AU22" s="1169"/>
      <c r="AV22" s="1171"/>
      <c r="AW22" s="1168">
        <v>5.6782111330398941E-2</v>
      </c>
      <c r="AX22" s="1168">
        <v>0.11202656785838626</v>
      </c>
      <c r="AY22" s="1169">
        <v>12.049903544921547</v>
      </c>
      <c r="AZ22" s="1172" t="s">
        <v>926</v>
      </c>
      <c r="BA22" s="1173" t="s">
        <v>179</v>
      </c>
      <c r="BB22" s="1169">
        <v>307.95562077835257</v>
      </c>
      <c r="BC22" s="1169">
        <v>253.96537401584843</v>
      </c>
      <c r="BD22" s="1168">
        <v>0.26770381611718547</v>
      </c>
      <c r="BE22" s="1168">
        <v>7.2073665073871029E-2</v>
      </c>
      <c r="BF22" s="1168">
        <v>9.1842868013732551E-2</v>
      </c>
      <c r="BG22" s="1169"/>
      <c r="BH22" s="1168"/>
      <c r="BI22" s="1168"/>
      <c r="BJ22" s="1168"/>
      <c r="BK22" s="1168">
        <v>0.49381692391608595</v>
      </c>
      <c r="BL22" s="1172" t="s">
        <v>239</v>
      </c>
      <c r="BM22" s="1169"/>
      <c r="BN22" s="1169"/>
      <c r="BO22" s="1384">
        <v>1.7848812126832056E-3</v>
      </c>
      <c r="BP22" s="1168"/>
      <c r="BQ22" s="1168"/>
      <c r="BR22" s="1168"/>
      <c r="BS22" s="1175"/>
      <c r="BT22" s="1176">
        <v>42.772001266479492</v>
      </c>
      <c r="BU22" s="1177">
        <v>5.4382191477798782</v>
      </c>
      <c r="BV22" s="1175"/>
      <c r="BW22" s="1178" t="s">
        <v>879</v>
      </c>
    </row>
    <row r="23" spans="1:75" ht="17">
      <c r="A23" s="435" t="s">
        <v>313</v>
      </c>
      <c r="B23" s="435" t="s">
        <v>18</v>
      </c>
      <c r="C23" s="434">
        <f>AVERAGE(BG$54:BG$58)</f>
        <v>0.78227462286552119</v>
      </c>
      <c r="D23" s="434">
        <f>STDEV(BG$54:BG$58)</f>
        <v>0.11836556067751944</v>
      </c>
      <c r="E23" s="434">
        <v>0.23673112135503888</v>
      </c>
      <c r="F23" s="1440">
        <f>AVERAGE(BG$59:BG$63)</f>
        <v>2.8743064427011009</v>
      </c>
      <c r="G23" s="434">
        <f>STDEV(BG$59:BG$63)</f>
        <v>0.37732491204124075</v>
      </c>
      <c r="H23" s="1440">
        <v>0.75464982408248149</v>
      </c>
      <c r="I23" s="1453">
        <f>AVERAGE(BG$64:BG$68)</f>
        <v>288.10092191321797</v>
      </c>
      <c r="J23" s="434">
        <f>STDEV(BG$64:BG$68)</f>
        <v>32.790745354910449</v>
      </c>
      <c r="K23" s="1453">
        <v>65.581490709820898</v>
      </c>
      <c r="L23" s="896">
        <v>2.7152798320484329E-3</v>
      </c>
      <c r="M23" s="880">
        <v>5.1410535395232302E-4</v>
      </c>
      <c r="N23" s="881">
        <v>1.028210707904646E-3</v>
      </c>
      <c r="O23" s="435">
        <v>0.15</v>
      </c>
      <c r="P23" s="433">
        <v>2.88</v>
      </c>
      <c r="Q23" s="778">
        <v>0.43961061299999998</v>
      </c>
      <c r="R23" s="570">
        <f t="shared" si="0"/>
        <v>0.21552651924152164</v>
      </c>
      <c r="S23" s="1373">
        <f>O23*(((1-(2*C47))/(1-C47))^P23)</f>
        <v>1.309120885598954E-3</v>
      </c>
      <c r="T23" s="800">
        <f>O23*(((1-(2*C46))/(1-C46))^P23)</f>
        <v>2.3850337084226681E-3</v>
      </c>
      <c r="U23" s="800">
        <v>4.9627861738918725E-4</v>
      </c>
      <c r="V23" s="800">
        <v>5.7963420543452691E-4</v>
      </c>
      <c r="W23" s="884">
        <f t="shared" si="1"/>
        <v>1.8053995029881412E-3</v>
      </c>
      <c r="X23" s="570">
        <f t="shared" si="2"/>
        <v>1.5039772790201484</v>
      </c>
      <c r="Y23" s="570">
        <f t="shared" si="3"/>
        <v>0.28475988450280409</v>
      </c>
      <c r="Z23" s="570"/>
      <c r="AA23" s="570"/>
      <c r="AB23" s="885">
        <v>0.27216117642988213</v>
      </c>
      <c r="AC23" s="570">
        <v>5.4519062089091859E-2</v>
      </c>
      <c r="AD23" s="573">
        <v>0.10903812417818372</v>
      </c>
      <c r="AE23" s="570"/>
      <c r="AF23" s="570"/>
      <c r="AG23" s="1493">
        <v>9.9767346234556735E-3</v>
      </c>
      <c r="AH23" s="880">
        <v>1.7334109476740203E-3</v>
      </c>
      <c r="AI23" s="881">
        <v>3.4668218953480406E-3</v>
      </c>
      <c r="AJ23" s="435" t="s">
        <v>18</v>
      </c>
      <c r="AL23" s="1167" t="s">
        <v>878</v>
      </c>
      <c r="AM23" s="1171"/>
      <c r="AN23" s="1168"/>
      <c r="AO23" s="1168"/>
      <c r="AP23" s="1169">
        <v>623162.43693025806</v>
      </c>
      <c r="AQ23" s="1169">
        <v>110.76699128097557</v>
      </c>
      <c r="AR23" s="1170">
        <v>17900</v>
      </c>
      <c r="AS23" s="1169">
        <v>17986.041738705779</v>
      </c>
      <c r="AT23" s="1169">
        <v>190.47659919278198</v>
      </c>
      <c r="AU23" s="1169"/>
      <c r="AV23" s="1171"/>
      <c r="AW23" s="1171">
        <v>7.8505621520588047</v>
      </c>
      <c r="AX23" s="1171">
        <v>8.3186426024324476</v>
      </c>
      <c r="AY23" s="1169">
        <v>11.885903487499453</v>
      </c>
      <c r="AZ23" s="1172" t="s">
        <v>802</v>
      </c>
      <c r="BA23" s="1173" t="s">
        <v>211</v>
      </c>
      <c r="BB23" s="1169">
        <v>298.53495876048407</v>
      </c>
      <c r="BC23" s="1169">
        <v>243.43001879908547</v>
      </c>
      <c r="BD23" s="1168">
        <v>0.28186148876086892</v>
      </c>
      <c r="BE23" s="1168">
        <v>5.8943899085014267E-2</v>
      </c>
      <c r="BF23" s="1168">
        <v>8.0650690681789872E-2</v>
      </c>
      <c r="BG23" s="1168"/>
      <c r="BH23" s="1168"/>
      <c r="BI23" s="1168"/>
      <c r="BJ23" s="1168"/>
      <c r="BK23" s="1171">
        <v>2.5299182678552645</v>
      </c>
      <c r="BL23" s="1169"/>
      <c r="BM23" s="1384">
        <v>5.6184054982268312E-3</v>
      </c>
      <c r="BN23" s="1385">
        <v>7.9256493595140931E-4</v>
      </c>
      <c r="BO23" s="1169"/>
      <c r="BP23" s="1168"/>
      <c r="BQ23" s="1168"/>
      <c r="BR23" s="1168"/>
      <c r="BS23" s="1175"/>
      <c r="BT23" s="1176">
        <v>31.230998992919897</v>
      </c>
      <c r="BU23" s="1177">
        <v>5.5695103599084392</v>
      </c>
      <c r="BV23" s="1175"/>
      <c r="BW23" s="1178" t="s">
        <v>876</v>
      </c>
    </row>
    <row r="24" spans="1:75" ht="18" thickBot="1">
      <c r="A24" s="407" t="s">
        <v>270</v>
      </c>
      <c r="B24" s="407" t="s">
        <v>830</v>
      </c>
      <c r="C24" s="405" t="e">
        <f>AVERAGE(BH$16:BH$20)</f>
        <v>#DIV/0!</v>
      </c>
      <c r="D24" s="405" t="e">
        <f>STDEV(BH$16:BH$20)</f>
        <v>#DIV/0!</v>
      </c>
      <c r="E24" s="405" t="e">
        <v>#DIV/0!</v>
      </c>
      <c r="F24" s="405">
        <f>AVERAGE(BH$21:BH$25)</f>
        <v>0.15408957559942618</v>
      </c>
      <c r="G24" s="405" t="e">
        <f>STDEV(BH$21:BH$25)</f>
        <v>#DIV/0!</v>
      </c>
      <c r="H24" s="405" t="e">
        <v>#DIV/0!</v>
      </c>
      <c r="I24" s="438">
        <f>AVERAGE(BH$26:BH$30)</f>
        <v>40.978361595881879</v>
      </c>
      <c r="J24" s="438">
        <f>STDEV(BH$26:BH$30)</f>
        <v>3.024493821063261</v>
      </c>
      <c r="K24" s="438">
        <v>6.0489876421265221</v>
      </c>
      <c r="L24" s="1323" t="e">
        <v>#DIV/0!</v>
      </c>
      <c r="M24" s="571" t="e">
        <v>#DIV/0!</v>
      </c>
      <c r="N24" s="862" t="e">
        <v>#DIV/0!</v>
      </c>
      <c r="O24" s="407">
        <v>0.54</v>
      </c>
      <c r="P24" s="404">
        <v>-0.70699999999999996</v>
      </c>
      <c r="Q24" s="779">
        <v>0.43961061299999998</v>
      </c>
      <c r="R24" s="749">
        <f t="shared" si="0"/>
        <v>0.21552651924152164</v>
      </c>
      <c r="S24" s="749" cm="1">
        <f t="array" ref="S24:S32">O24:O32*(((1-(2*C46))/(1-C46))^P24:P32)</f>
        <v>1.4925341554530696</v>
      </c>
      <c r="T24" s="749" cm="1">
        <f t="array" ref="T24:T32">O24:O32*(((1-(2*C47))/(1-C47))^P24:P32)</f>
        <v>1.7293266573784865</v>
      </c>
      <c r="U24" s="749">
        <v>0.10558351757120099</v>
      </c>
      <c r="V24" s="749">
        <v>0.13120898435421591</v>
      </c>
      <c r="W24" s="889">
        <f t="shared" si="1"/>
        <v>1.5981176730242705</v>
      </c>
      <c r="X24" s="749" t="e">
        <f t="shared" si="2"/>
        <v>#DIV/0!</v>
      </c>
      <c r="Y24" s="749" t="e">
        <f t="shared" si="3"/>
        <v>#DIV/0!</v>
      </c>
      <c r="Z24" s="749"/>
      <c r="AA24" s="749"/>
      <c r="AB24" s="868" t="e">
        <v>#DIV/0!</v>
      </c>
      <c r="AC24" s="571" t="e">
        <v>#DIV/0!</v>
      </c>
      <c r="AD24" s="571" t="e">
        <v>#DIV/0!</v>
      </c>
      <c r="AE24" s="749"/>
      <c r="AF24" s="749"/>
      <c r="AG24" s="868">
        <v>3.7602668725269734E-3</v>
      </c>
      <c r="AH24" s="571" t="e">
        <v>#DIV/0!</v>
      </c>
      <c r="AI24" s="862" t="e">
        <v>#DIV/0!</v>
      </c>
      <c r="AJ24" s="407" t="s">
        <v>830</v>
      </c>
      <c r="AL24" s="1179" t="s">
        <v>875</v>
      </c>
      <c r="AM24" s="1180"/>
      <c r="AN24" s="1181"/>
      <c r="AO24" s="1181"/>
      <c r="AP24" s="1182">
        <v>617126.28112054814</v>
      </c>
      <c r="AQ24" s="1182">
        <v>113.08960625981383</v>
      </c>
      <c r="AR24" s="1183">
        <v>17900</v>
      </c>
      <c r="AS24" s="1182">
        <v>17850.50332268393</v>
      </c>
      <c r="AT24" s="1182">
        <v>198.44208661915107</v>
      </c>
      <c r="AU24" s="1182"/>
      <c r="AV24" s="1180"/>
      <c r="AW24" s="1184" t="s">
        <v>58</v>
      </c>
      <c r="AX24" s="1181">
        <v>6.5741060312143176E-2</v>
      </c>
      <c r="AY24" s="1182">
        <v>10.698390437786276</v>
      </c>
      <c r="AZ24" s="1184" t="s">
        <v>364</v>
      </c>
      <c r="BA24" s="1184" t="s">
        <v>211</v>
      </c>
      <c r="BB24" s="1182">
        <v>293.34586280284623</v>
      </c>
      <c r="BC24" s="1182">
        <v>247.03811140124395</v>
      </c>
      <c r="BD24" s="1181">
        <v>0.37915365010909102</v>
      </c>
      <c r="BE24" s="1181">
        <v>5.4346427533251432E-2</v>
      </c>
      <c r="BF24" s="1181">
        <v>0.1466462149253365</v>
      </c>
      <c r="BG24" s="1181"/>
      <c r="BH24" s="1181"/>
      <c r="BI24" s="1181"/>
      <c r="BJ24" s="1181"/>
      <c r="BK24" s="1181">
        <v>0.48503357622919657</v>
      </c>
      <c r="BL24" s="1182"/>
      <c r="BM24" s="1182"/>
      <c r="BN24" s="1182"/>
      <c r="BO24" s="1182"/>
      <c r="BP24" s="1181"/>
      <c r="BQ24" s="1181"/>
      <c r="BR24" s="1181"/>
      <c r="BS24" s="1185"/>
      <c r="BT24" s="1186">
        <v>43.451000213623097</v>
      </c>
      <c r="BU24" s="1187">
        <v>5.1832301895402626</v>
      </c>
      <c r="BV24" s="1185"/>
      <c r="BW24" s="1188" t="s">
        <v>873</v>
      </c>
    </row>
    <row r="25" spans="1:75" ht="18" thickBot="1">
      <c r="A25" s="435" t="s">
        <v>313</v>
      </c>
      <c r="B25" s="435" t="s">
        <v>428</v>
      </c>
      <c r="C25" s="1453">
        <f>AVERAGE(BI$54:BI$58)</f>
        <v>322.82746857737573</v>
      </c>
      <c r="D25" s="434">
        <f>STDEV(BI$54:BI$58)</f>
        <v>6.0604637258527783</v>
      </c>
      <c r="E25" s="1453">
        <v>12.120927451705557</v>
      </c>
      <c r="F25" s="434">
        <f>AVERAGE(BI$59:BI$63)</f>
        <v>0.37434737168188942</v>
      </c>
      <c r="G25" s="434">
        <f>STDEV(BI$59:BI$63)</f>
        <v>0.15213416915413883</v>
      </c>
      <c r="H25" s="434">
        <v>0.30426833830827765</v>
      </c>
      <c r="I25" s="1453">
        <f>AVERAGE(BI$64:BI$68)</f>
        <v>111.08952340602127</v>
      </c>
      <c r="J25" s="434">
        <f>STDEV(BI$64:BI$68)</f>
        <v>10.059492256357197</v>
      </c>
      <c r="K25" s="1453">
        <v>20.118984512714395</v>
      </c>
      <c r="L25" s="930">
        <v>2.9060118243326429</v>
      </c>
      <c r="M25" s="570">
        <v>0.26874369991712266</v>
      </c>
      <c r="N25" s="879">
        <v>0.53748739983424532</v>
      </c>
      <c r="O25" s="435">
        <v>0.13</v>
      </c>
      <c r="P25" s="433">
        <v>-0.84</v>
      </c>
      <c r="Q25" s="778">
        <v>0.43961061299999998</v>
      </c>
      <c r="R25" s="570">
        <f t="shared" si="0"/>
        <v>0.21552651924152164</v>
      </c>
      <c r="S25" s="573">
        <v>0.43504488560151533</v>
      </c>
      <c r="T25" s="573">
        <v>0.51822402363595843</v>
      </c>
      <c r="U25" s="573">
        <v>3.6803802190594037E-2</v>
      </c>
      <c r="V25" s="573">
        <v>4.6375335843849064E-2</v>
      </c>
      <c r="W25" s="888">
        <f t="shared" si="1"/>
        <v>0.47184868779210937</v>
      </c>
      <c r="X25" s="570">
        <f t="shared" si="2"/>
        <v>6.1587790737122816</v>
      </c>
      <c r="Y25" s="570">
        <f t="shared" si="3"/>
        <v>0.56955483160213383</v>
      </c>
      <c r="Z25" s="570"/>
      <c r="AA25" s="570"/>
      <c r="AB25" s="863">
        <v>862.37407551963804</v>
      </c>
      <c r="AC25" s="433">
        <v>350.84116158080712</v>
      </c>
      <c r="AD25" s="721">
        <v>701.68232316161425</v>
      </c>
      <c r="AE25" s="570"/>
      <c r="AF25" s="570"/>
      <c r="AG25" s="1493">
        <v>3.3697810576942223E-3</v>
      </c>
      <c r="AH25" s="880">
        <v>1.4030576287082069E-3</v>
      </c>
      <c r="AI25" s="881">
        <v>2.8061152574164138E-3</v>
      </c>
      <c r="AJ25" s="435" t="s">
        <v>428</v>
      </c>
      <c r="AL25" s="1189" t="s">
        <v>872</v>
      </c>
      <c r="AM25" s="1129"/>
      <c r="AN25" s="1128"/>
      <c r="AO25" s="1129"/>
      <c r="AP25" s="1128">
        <v>622972.88480278896</v>
      </c>
      <c r="AQ25" s="1128">
        <v>108.9233810009752</v>
      </c>
      <c r="AR25" s="1130">
        <v>17900</v>
      </c>
      <c r="AS25" s="1128">
        <v>17612.296378221163</v>
      </c>
      <c r="AT25" s="1128">
        <v>187.85864314189553</v>
      </c>
      <c r="AU25" s="1128"/>
      <c r="AV25" s="1129"/>
      <c r="AW25" s="1128">
        <v>10.075626824535684</v>
      </c>
      <c r="AX25" s="1128">
        <v>10.025545633389948</v>
      </c>
      <c r="AY25" s="1128">
        <v>11.676564579988558</v>
      </c>
      <c r="AZ25" s="1131">
        <v>3.2536929895221105</v>
      </c>
      <c r="BA25" s="1129">
        <v>0.25083271899110721</v>
      </c>
      <c r="BB25" s="1128">
        <v>293.7623282660561</v>
      </c>
      <c r="BC25" s="1128">
        <v>241.62002647322731</v>
      </c>
      <c r="BD25" s="1129">
        <v>0.19928059477138499</v>
      </c>
      <c r="BE25" s="1129">
        <v>4.84969635956011E-2</v>
      </c>
      <c r="BF25" s="1129">
        <v>0.18881867043349262</v>
      </c>
      <c r="BG25" s="1129"/>
      <c r="BH25" s="1129">
        <v>0.15408957559942618</v>
      </c>
      <c r="BI25" s="1129"/>
      <c r="BJ25" s="1129"/>
      <c r="BK25" s="1128">
        <v>17.059671125738731</v>
      </c>
      <c r="BL25" s="1383">
        <v>1.600447192353138E-3</v>
      </c>
      <c r="BM25" s="1383">
        <v>2.4015302601804313E-3</v>
      </c>
      <c r="BN25" s="1133" t="s">
        <v>239</v>
      </c>
      <c r="BO25" s="1133" t="s">
        <v>58</v>
      </c>
      <c r="BP25" s="1129">
        <v>0.46998657692527213</v>
      </c>
      <c r="BQ25" s="1129"/>
      <c r="BR25" s="1129"/>
      <c r="BS25" s="1134"/>
      <c r="BT25" s="1135">
        <v>42.093002319335994</v>
      </c>
      <c r="BU25" s="1136">
        <v>4.7996479933245215</v>
      </c>
      <c r="BV25" s="1134"/>
      <c r="BW25" s="1137" t="s">
        <v>871</v>
      </c>
    </row>
    <row r="26" spans="1:75" ht="17">
      <c r="A26" s="435" t="s">
        <v>313</v>
      </c>
      <c r="B26" s="435" t="s">
        <v>20</v>
      </c>
      <c r="C26" s="1453">
        <f>AVERAGE(BJ$54:BJ$58)</f>
        <v>303.80862903005448</v>
      </c>
      <c r="D26" s="434">
        <f>STDEV(BJ$54:BJ$58)</f>
        <v>5.7665916921876219</v>
      </c>
      <c r="E26" s="1453">
        <v>11.533183384375244</v>
      </c>
      <c r="F26" s="1554">
        <f>AVERAGE(BJ$59:BJ$63)</f>
        <v>0.39921214884674472</v>
      </c>
      <c r="G26" s="405">
        <f>STDEV(BJ$59:BJ$63)</f>
        <v>0.37627695090645247</v>
      </c>
      <c r="H26" s="1554">
        <v>0.75255390181290494</v>
      </c>
      <c r="I26" s="1453">
        <f>AVERAGE(BJ$64:BJ$68)</f>
        <v>145.24078717610192</v>
      </c>
      <c r="J26" s="434">
        <f>STDEV(BJ$64:BJ$68)</f>
        <v>16.049362458930631</v>
      </c>
      <c r="K26" s="1453">
        <v>32.098724917861261</v>
      </c>
      <c r="L26" s="930">
        <v>2.0917583478922612</v>
      </c>
      <c r="M26" s="570">
        <v>0.23452815783022696</v>
      </c>
      <c r="N26" s="879">
        <v>0.46905631566045392</v>
      </c>
      <c r="O26" s="435">
        <v>0.12</v>
      </c>
      <c r="P26" s="433">
        <v>-0.61</v>
      </c>
      <c r="Q26" s="778">
        <v>0.43961061299999998</v>
      </c>
      <c r="R26" s="570">
        <f t="shared" si="0"/>
        <v>0.21552651924152164</v>
      </c>
      <c r="S26" s="573">
        <v>0.28849216791755172</v>
      </c>
      <c r="T26" s="573">
        <v>0.32757632234216594</v>
      </c>
      <c r="U26" s="573">
        <v>1.7525012854871902E-2</v>
      </c>
      <c r="V26" s="573">
        <v>2.1559141569742313E-2</v>
      </c>
      <c r="W26" s="888">
        <f t="shared" si="1"/>
        <v>0.30601718077242362</v>
      </c>
      <c r="X26" s="573">
        <f t="shared" si="2"/>
        <v>6.8354278103354043</v>
      </c>
      <c r="Y26" s="570">
        <f t="shared" si="3"/>
        <v>0.76638885842373317</v>
      </c>
      <c r="Z26" s="570"/>
      <c r="AA26" s="570">
        <f>C26/AVERAGE(BJ59,BJ61,BJ62,BJ63)</f>
        <v>761.02049977112517</v>
      </c>
      <c r="AB26" s="868">
        <v>761.02049977112517</v>
      </c>
      <c r="AC26" s="571">
        <v>717.44442606987491</v>
      </c>
      <c r="AD26" s="571">
        <v>1434.8888521397498</v>
      </c>
      <c r="AE26" s="570">
        <f>AVERAGE(BJ59,BJ61,BJ62,BJ63)/I26</f>
        <v>2.7486228669547693E-3</v>
      </c>
      <c r="AF26" s="570"/>
      <c r="AG26" s="1506">
        <v>2.7486228669547693E-3</v>
      </c>
      <c r="AH26" s="785">
        <v>2.6084546413795546E-3</v>
      </c>
      <c r="AI26" s="1469">
        <v>5.2169092827591091E-3</v>
      </c>
      <c r="AJ26" s="435" t="s">
        <v>20</v>
      </c>
      <c r="AL26" s="976" t="s">
        <v>870</v>
      </c>
      <c r="AM26" s="978"/>
      <c r="AN26" s="979"/>
      <c r="AO26" s="978"/>
      <c r="AP26" s="979">
        <v>549736.26705692394</v>
      </c>
      <c r="AQ26" s="979">
        <v>275.02268779761215</v>
      </c>
      <c r="AR26" s="1032">
        <v>207400</v>
      </c>
      <c r="AS26" s="979">
        <v>205401.78116658903</v>
      </c>
      <c r="AT26" s="979">
        <v>1156.9720069884966</v>
      </c>
      <c r="AU26" s="979"/>
      <c r="AV26" s="978"/>
      <c r="AW26" s="980">
        <v>3.3484725271895823</v>
      </c>
      <c r="AX26" s="980">
        <v>1.1250824099446719</v>
      </c>
      <c r="AY26" s="979">
        <v>11.11641175463977</v>
      </c>
      <c r="AZ26" s="977" t="s">
        <v>925</v>
      </c>
      <c r="BA26" s="979">
        <v>31.75496938622593</v>
      </c>
      <c r="BB26" s="979">
        <v>146.40225042057816</v>
      </c>
      <c r="BC26" s="979">
        <v>123.28892160286469</v>
      </c>
      <c r="BD26" s="980">
        <v>2.0511812345574247</v>
      </c>
      <c r="BE26" s="980">
        <v>2.2761421933063324</v>
      </c>
      <c r="BF26" s="979">
        <v>38.105460679821952</v>
      </c>
      <c r="BG26" s="978"/>
      <c r="BH26" s="979">
        <v>36.533162402043295</v>
      </c>
      <c r="BI26" s="978"/>
      <c r="BJ26" s="978"/>
      <c r="BK26" s="980">
        <v>2.5553308873289562</v>
      </c>
      <c r="BL26" s="978">
        <v>2.6926717190219076E-2</v>
      </c>
      <c r="BM26" s="978">
        <v>2.3982107847118888E-2</v>
      </c>
      <c r="BN26" s="978">
        <v>2.9852760689576686E-2</v>
      </c>
      <c r="BO26" s="978">
        <v>0.14870966442685243</v>
      </c>
      <c r="BP26" s="979">
        <v>30.535730792494576</v>
      </c>
      <c r="BQ26" s="978"/>
      <c r="BR26" s="978"/>
      <c r="BS26" s="983"/>
      <c r="BT26" s="984">
        <v>44.809001922607393</v>
      </c>
      <c r="BU26" s="985">
        <v>3.0918165430310638</v>
      </c>
      <c r="BV26" s="983"/>
      <c r="BW26" s="983" t="s">
        <v>867</v>
      </c>
    </row>
    <row r="27" spans="1:75" ht="17">
      <c r="A27" s="407" t="s">
        <v>270</v>
      </c>
      <c r="B27" s="407" t="s">
        <v>422</v>
      </c>
      <c r="C27" s="1455">
        <f>AVERAGE(BK$16:BK$20)</f>
        <v>144.43688976893799</v>
      </c>
      <c r="D27" s="438">
        <f>STDEV(BK$16:BK$20)</f>
        <v>12.52983476472952</v>
      </c>
      <c r="E27" s="1455">
        <v>25.05966952945904</v>
      </c>
      <c r="F27" s="405">
        <f>AVERAGE(BK$21:BK$25)</f>
        <v>4.8710059134755177</v>
      </c>
      <c r="G27" s="405">
        <f>STDEV(BK$21:BK$25)</f>
        <v>6.9573117365068562</v>
      </c>
      <c r="H27" s="405">
        <v>13.914623473013712</v>
      </c>
      <c r="I27" s="405">
        <f>AVERAGE(BK$26:BK$30)</f>
        <v>5.5520023992828431</v>
      </c>
      <c r="J27" s="405">
        <f>STDEV(BK$26:BK$30)</f>
        <v>3.3967363423878663</v>
      </c>
      <c r="K27" s="405">
        <v>6.7934726847757325</v>
      </c>
      <c r="L27" s="1323">
        <v>26.015278701535689</v>
      </c>
      <c r="M27" s="571">
        <v>16.075451242325787</v>
      </c>
      <c r="N27" s="862">
        <v>32.150902484651574</v>
      </c>
      <c r="O27" s="407">
        <v>0.95</v>
      </c>
      <c r="P27" s="404">
        <v>-3.88</v>
      </c>
      <c r="Q27" s="779">
        <v>0.43961061299999998</v>
      </c>
      <c r="R27" s="749">
        <f t="shared" si="0"/>
        <v>0.21552651924152164</v>
      </c>
      <c r="S27" s="749">
        <v>251.67095610905679</v>
      </c>
      <c r="T27" s="749">
        <v>564.68257459159634</v>
      </c>
      <c r="U27" s="749">
        <v>114.54800869436943</v>
      </c>
      <c r="V27" s="749">
        <v>198.46360978817012</v>
      </c>
      <c r="W27" s="889">
        <f t="shared" si="1"/>
        <v>366.21896480342622</v>
      </c>
      <c r="X27" s="749">
        <f t="shared" si="2"/>
        <v>7.1037497240209274E-2</v>
      </c>
      <c r="Y27" s="749">
        <f t="shared" si="3"/>
        <v>4.3895736669329881E-2</v>
      </c>
      <c r="Z27" s="749"/>
      <c r="AA27" s="749"/>
      <c r="AB27" s="868">
        <v>29.65237413679932</v>
      </c>
      <c r="AC27" s="571">
        <v>42.430858938648022</v>
      </c>
      <c r="AD27" s="571">
        <v>84.861717877296044</v>
      </c>
      <c r="AE27" s="749"/>
      <c r="AF27" s="749"/>
      <c r="AG27" s="868">
        <v>0.87734218452512014</v>
      </c>
      <c r="AH27" s="571">
        <v>1.36323744816477</v>
      </c>
      <c r="AI27" s="862">
        <v>2.72647489632954</v>
      </c>
      <c r="AJ27" s="407" t="s">
        <v>422</v>
      </c>
      <c r="AL27" s="976" t="s">
        <v>866</v>
      </c>
      <c r="AM27" s="978"/>
      <c r="AN27" s="978"/>
      <c r="AO27" s="978"/>
      <c r="AP27" s="979">
        <v>807586.7860593003</v>
      </c>
      <c r="AQ27" s="979">
        <v>367.01901026079048</v>
      </c>
      <c r="AR27" s="1032">
        <v>207400</v>
      </c>
      <c r="AS27" s="979">
        <v>209452.41963987701</v>
      </c>
      <c r="AT27" s="979">
        <v>1120.4421837847237</v>
      </c>
      <c r="AU27" s="979"/>
      <c r="AV27" s="978"/>
      <c r="AW27" s="980">
        <v>4.1326814411897486</v>
      </c>
      <c r="AX27" s="980">
        <v>3.0162175694942386</v>
      </c>
      <c r="AY27" s="979">
        <v>15.71092336160782</v>
      </c>
      <c r="AZ27" s="977" t="s">
        <v>924</v>
      </c>
      <c r="BA27" s="979">
        <v>35.169055620864619</v>
      </c>
      <c r="BB27" s="979">
        <v>264.02256192313388</v>
      </c>
      <c r="BC27" s="979">
        <v>219.13366106059374</v>
      </c>
      <c r="BD27" s="980">
        <v>3.0293703373070056</v>
      </c>
      <c r="BE27" s="980">
        <v>4.9821301703457115</v>
      </c>
      <c r="BF27" s="979">
        <v>42.059042557243934</v>
      </c>
      <c r="BG27" s="978"/>
      <c r="BH27" s="979">
        <v>41.097273805414886</v>
      </c>
      <c r="BI27" s="978"/>
      <c r="BJ27" s="978"/>
      <c r="BK27" s="980">
        <v>5.6796373107149449</v>
      </c>
      <c r="BL27" s="978">
        <v>9.7069245040278723E-2</v>
      </c>
      <c r="BM27" s="978">
        <v>8.6046341545571697E-2</v>
      </c>
      <c r="BN27" s="978">
        <v>6.7609394866433067E-2</v>
      </c>
      <c r="BO27" s="978">
        <v>0.43766819306113852</v>
      </c>
      <c r="BP27" s="979">
        <v>45.658250072982703</v>
      </c>
      <c r="BQ27" s="978"/>
      <c r="BR27" s="978"/>
      <c r="BS27" s="983"/>
      <c r="BT27" s="984">
        <v>44.130001068115298</v>
      </c>
      <c r="BU27" s="985">
        <v>2.206898594426979</v>
      </c>
      <c r="BV27" s="983"/>
      <c r="BW27" s="983" t="s">
        <v>864</v>
      </c>
    </row>
    <row r="28" spans="1:75" ht="17">
      <c r="A28" s="407" t="s">
        <v>270</v>
      </c>
      <c r="B28" s="407" t="s">
        <v>22</v>
      </c>
      <c r="C28" s="1555">
        <f>AVERAGE(BL$16:BL$20)</f>
        <v>93.732513748529925</v>
      </c>
      <c r="D28" s="405">
        <f>STDEV(BL$16:BL$20)</f>
        <v>88.00647853977398</v>
      </c>
      <c r="E28" s="1555">
        <v>176.01295707954796</v>
      </c>
      <c r="F28" s="811">
        <f>AVERAGE(BL$21:BL$25)</f>
        <v>1.600447192353138E-3</v>
      </c>
      <c r="G28" s="811" t="e">
        <f>STDEV(BL$21:BL$25)</f>
        <v>#DIV/0!</v>
      </c>
      <c r="H28" s="811" t="e">
        <v>#DIV/0!</v>
      </c>
      <c r="I28" s="791">
        <f>AVERAGE(BL$26:BL$30)</f>
        <v>7.9975233332487433E-2</v>
      </c>
      <c r="J28" s="791">
        <f>STDEV(BL$26:BL$30)</f>
        <v>3.5273845100481052E-2</v>
      </c>
      <c r="K28" s="791">
        <v>7.0547690200962104E-2</v>
      </c>
      <c r="L28" s="1323">
        <v>1172.0192594981029</v>
      </c>
      <c r="M28" s="571">
        <v>1215.7897882286275</v>
      </c>
      <c r="N28" s="862">
        <v>2431.5795764572549</v>
      </c>
      <c r="O28" s="407">
        <v>1.65</v>
      </c>
      <c r="P28" s="404">
        <v>-5.08</v>
      </c>
      <c r="Q28" s="779">
        <v>0.43961061299999998</v>
      </c>
      <c r="R28" s="749">
        <f t="shared" si="0"/>
        <v>0.21552651924152164</v>
      </c>
      <c r="S28" s="749">
        <v>2454.7583460957449</v>
      </c>
      <c r="T28" s="749">
        <v>7071.7655350884679</v>
      </c>
      <c r="U28" s="749">
        <v>1556.6817529085124</v>
      </c>
      <c r="V28" s="749">
        <v>3060.3254360842107</v>
      </c>
      <c r="W28" s="889">
        <f t="shared" si="1"/>
        <v>4011.4400990042573</v>
      </c>
      <c r="X28" s="749">
        <f t="shared" si="2"/>
        <v>0.29216920372038668</v>
      </c>
      <c r="Y28" s="749">
        <f t="shared" si="3"/>
        <v>0.3030806289567724</v>
      </c>
      <c r="Z28" s="749"/>
      <c r="AA28" s="749">
        <f>C28/AVERAGE(BL25)</f>
        <v>58566.45204938938</v>
      </c>
      <c r="AB28" s="868">
        <v>58566.45204938938</v>
      </c>
      <c r="AC28" s="571" t="e">
        <v>#DIV/0!</v>
      </c>
      <c r="AD28" s="571" t="e">
        <v>#DIV/0!</v>
      </c>
      <c r="AE28" s="749">
        <f>AVERAGE(0.02,0.02,BL9,BL9,BL25)/I28</f>
        <v>0.11630178658342902</v>
      </c>
      <c r="AF28" s="749"/>
      <c r="AG28" s="868">
        <v>2.0011785219800123E-2</v>
      </c>
      <c r="AH28" s="571" t="e">
        <v>#DIV/0!</v>
      </c>
      <c r="AI28" s="862" t="e">
        <v>#DIV/0!</v>
      </c>
      <c r="AJ28" s="407" t="s">
        <v>22</v>
      </c>
      <c r="AL28" s="976" t="s">
        <v>863</v>
      </c>
      <c r="AM28" s="978"/>
      <c r="AN28" s="978"/>
      <c r="AO28" s="978"/>
      <c r="AP28" s="979">
        <v>674270.58160731744</v>
      </c>
      <c r="AQ28" s="979">
        <v>335.47623393190912</v>
      </c>
      <c r="AR28" s="1032">
        <v>207400</v>
      </c>
      <c r="AS28" s="979">
        <v>201376.93360637271</v>
      </c>
      <c r="AT28" s="979">
        <v>1073.8583073143443</v>
      </c>
      <c r="AU28" s="979"/>
      <c r="AV28" s="978"/>
      <c r="AW28" s="980">
        <v>3.4150589503835223</v>
      </c>
      <c r="AX28" s="980">
        <v>2.3013928185964234</v>
      </c>
      <c r="AY28" s="979">
        <v>13.019196973696793</v>
      </c>
      <c r="AZ28" s="977" t="s">
        <v>121</v>
      </c>
      <c r="BA28" s="979">
        <v>36.730566779215636</v>
      </c>
      <c r="BB28" s="979">
        <v>206.94998273078818</v>
      </c>
      <c r="BC28" s="979">
        <v>170.78557727336914</v>
      </c>
      <c r="BD28" s="980">
        <v>3.8292646659515164</v>
      </c>
      <c r="BE28" s="980">
        <v>5.4689795216684116</v>
      </c>
      <c r="BF28" s="979">
        <v>45.234540156043835</v>
      </c>
      <c r="BG28" s="978"/>
      <c r="BH28" s="979">
        <v>45.037911449459855</v>
      </c>
      <c r="BI28" s="978"/>
      <c r="BJ28" s="978"/>
      <c r="BK28" s="980">
        <v>4.6563037638114588</v>
      </c>
      <c r="BL28" s="978">
        <v>0.11960916114075872</v>
      </c>
      <c r="BM28" s="978">
        <v>5.2627501538483785E-2</v>
      </c>
      <c r="BN28" s="978">
        <v>0.11804896795427855</v>
      </c>
      <c r="BO28" s="978">
        <v>0.54395155991323918</v>
      </c>
      <c r="BP28" s="979">
        <v>46.927793509126118</v>
      </c>
      <c r="BQ28" s="978"/>
      <c r="BR28" s="978"/>
      <c r="BS28" s="983"/>
      <c r="BT28" s="984">
        <v>44.809001922607393</v>
      </c>
      <c r="BU28" s="985">
        <v>2.5069234601951078</v>
      </c>
      <c r="BV28" s="983"/>
      <c r="BW28" s="983" t="s">
        <v>860</v>
      </c>
    </row>
    <row r="29" spans="1:75" ht="17">
      <c r="A29" s="407" t="s">
        <v>270</v>
      </c>
      <c r="B29" s="407" t="s">
        <v>23</v>
      </c>
      <c r="C29" s="1555">
        <f>AVERAGE(BM$16:BM$20)</f>
        <v>116.13616502562502</v>
      </c>
      <c r="D29" s="405">
        <f>STDEV(BM$16:BM$20)</f>
        <v>62.691575865785119</v>
      </c>
      <c r="E29" s="1555">
        <v>125.38315173157024</v>
      </c>
      <c r="F29" s="782">
        <f>AVERAGE(BM$21:BM$25)</f>
        <v>5.8624046240276272E-3</v>
      </c>
      <c r="G29" s="783">
        <f>STDEV(BM$21:BM$25)</f>
        <v>3.5890997833734578E-3</v>
      </c>
      <c r="H29" s="782">
        <v>7.1781995667469156E-3</v>
      </c>
      <c r="I29" s="405">
        <f>AVERAGE(BM$26:BM$30)</f>
        <v>5.0666177279402411E-2</v>
      </c>
      <c r="J29" s="782">
        <f>STDEV(BM$26:BM$30)</f>
        <v>2.6345895155600641E-2</v>
      </c>
      <c r="K29" s="405">
        <v>5.2691790311201282E-2</v>
      </c>
      <c r="L29" s="1323">
        <v>2292.183291926357</v>
      </c>
      <c r="M29" s="571">
        <v>1718.04492754176</v>
      </c>
      <c r="N29" s="862">
        <v>3436.08985508352</v>
      </c>
      <c r="O29" s="407">
        <v>1.71</v>
      </c>
      <c r="P29" s="404">
        <v>-5.34</v>
      </c>
      <c r="Q29" s="779">
        <v>0.43961061299999998</v>
      </c>
      <c r="R29" s="749">
        <f t="shared" si="0"/>
        <v>0.21552651924152164</v>
      </c>
      <c r="S29" s="749">
        <v>3697.3811950212184</v>
      </c>
      <c r="T29" s="749">
        <v>11244.289806680988</v>
      </c>
      <c r="U29" s="749">
        <v>2498.48873048734</v>
      </c>
      <c r="V29" s="749">
        <v>5048.41988117243</v>
      </c>
      <c r="W29" s="889">
        <f t="shared" si="1"/>
        <v>6195.8699255085585</v>
      </c>
      <c r="X29" s="749">
        <f t="shared" si="2"/>
        <v>0.36995342372979434</v>
      </c>
      <c r="Y29" s="749">
        <f t="shared" si="3"/>
        <v>0.27728873397882742</v>
      </c>
      <c r="Z29" s="749"/>
      <c r="AA29" s="749">
        <f>C29/AVERAGE(BM21,BM23,BM25)</f>
        <v>19810.329118128389</v>
      </c>
      <c r="AB29" s="868">
        <v>19810.329118128389</v>
      </c>
      <c r="AC29" s="571">
        <v>16169.562213220492</v>
      </c>
      <c r="AD29" s="571">
        <v>32339.124426440983</v>
      </c>
      <c r="AE29" s="749">
        <f>AVERAGE(BM21,BM23,BM25)/I29</f>
        <v>0.1157064720256861</v>
      </c>
      <c r="AF29" s="749"/>
      <c r="AG29" s="868">
        <v>0.1157064720256861</v>
      </c>
      <c r="AH29" s="571">
        <v>9.2940935658136783E-2</v>
      </c>
      <c r="AI29" s="862">
        <v>0.18588187131627357</v>
      </c>
      <c r="AJ29" s="407" t="s">
        <v>23</v>
      </c>
      <c r="AL29" s="976" t="s">
        <v>859</v>
      </c>
      <c r="AM29" s="979"/>
      <c r="AN29" s="1190"/>
      <c r="AO29" s="1190"/>
      <c r="AP29" s="979">
        <v>580936.98798988049</v>
      </c>
      <c r="AQ29" s="979">
        <v>312.48954727419618</v>
      </c>
      <c r="AR29" s="1032">
        <v>207400</v>
      </c>
      <c r="AS29" s="979">
        <v>202839.24793222069</v>
      </c>
      <c r="AT29" s="979">
        <v>1075.9346083664584</v>
      </c>
      <c r="AU29" s="979"/>
      <c r="AV29" s="978"/>
      <c r="AW29" s="980">
        <v>3.1451081735778192</v>
      </c>
      <c r="AX29" s="980">
        <v>1.7594233607431748</v>
      </c>
      <c r="AY29" s="979">
        <v>11.849391491512623</v>
      </c>
      <c r="AZ29" s="977" t="s">
        <v>923</v>
      </c>
      <c r="BA29" s="979">
        <v>35.79343736924217</v>
      </c>
      <c r="BB29" s="979">
        <v>167.61699707876949</v>
      </c>
      <c r="BC29" s="979">
        <v>139.94742837990373</v>
      </c>
      <c r="BD29" s="980">
        <v>3.031258893131425</v>
      </c>
      <c r="BE29" s="980">
        <v>3.4973649195872683</v>
      </c>
      <c r="BF29" s="979">
        <v>42.4942860693832</v>
      </c>
      <c r="BG29" s="978"/>
      <c r="BH29" s="979">
        <v>41.499542065382734</v>
      </c>
      <c r="BI29" s="978"/>
      <c r="BJ29" s="978"/>
      <c r="BK29" s="980">
        <v>3.6090563991905715</v>
      </c>
      <c r="BL29" s="978">
        <v>9.0239425557866904E-2</v>
      </c>
      <c r="BM29" s="978">
        <v>6.4728085277503733E-2</v>
      </c>
      <c r="BN29" s="978">
        <v>7.8862664513020833E-2</v>
      </c>
      <c r="BO29" s="978">
        <v>0.35206296113916741</v>
      </c>
      <c r="BP29" s="979">
        <v>36.076253085457886</v>
      </c>
      <c r="BQ29" s="978"/>
      <c r="BR29" s="978"/>
      <c r="BS29" s="983"/>
      <c r="BT29" s="984">
        <v>42.772001266479492</v>
      </c>
      <c r="BU29" s="985">
        <v>2.8985719755330113</v>
      </c>
      <c r="BV29" s="983"/>
      <c r="BW29" s="983" t="s">
        <v>857</v>
      </c>
    </row>
    <row r="30" spans="1:75" ht="18" thickBot="1">
      <c r="A30" s="407" t="s">
        <v>270</v>
      </c>
      <c r="B30" s="407" t="s">
        <v>24</v>
      </c>
      <c r="C30" s="1457">
        <f>AVERAGE(BN$16:BN$20)</f>
        <v>110.96085190058912</v>
      </c>
      <c r="D30" s="673">
        <f>STDEV(BN$16:BN$20)</f>
        <v>54.379444544950324</v>
      </c>
      <c r="E30" s="1457">
        <v>108.75888908990065</v>
      </c>
      <c r="F30" s="811">
        <f>AVERAGE(BN$21:BN$25)</f>
        <v>7.9256493595140931E-4</v>
      </c>
      <c r="G30" s="811" t="e">
        <f>STDEV(BN$21:BN$25)</f>
        <v>#DIV/0!</v>
      </c>
      <c r="H30" s="811" t="e">
        <v>#DIV/0!</v>
      </c>
      <c r="I30" s="405">
        <f>AVERAGE(BN$26:BN$30)</f>
        <v>6.7819940656351246E-2</v>
      </c>
      <c r="J30" s="783">
        <f>STDEV(BN$26:BN$30)</f>
        <v>3.3984489207242487E-2</v>
      </c>
      <c r="K30" s="405">
        <v>6.7968978414484973E-2</v>
      </c>
      <c r="L30" s="1323">
        <v>1636.1095398599082</v>
      </c>
      <c r="M30" s="571">
        <v>1146.767118795723</v>
      </c>
      <c r="N30" s="862">
        <v>2293.5342375914461</v>
      </c>
      <c r="O30" s="407">
        <v>1.49</v>
      </c>
      <c r="P30" s="404">
        <v>-5.04</v>
      </c>
      <c r="Q30" s="779">
        <v>0.43961061299999998</v>
      </c>
      <c r="R30" s="749">
        <f t="shared" si="0"/>
        <v>0.21552651924152164</v>
      </c>
      <c r="S30" s="749">
        <v>2092.8136499112788</v>
      </c>
      <c r="T30" s="749">
        <v>5979.0392780929806</v>
      </c>
      <c r="U30" s="749">
        <v>1313.9551740127804</v>
      </c>
      <c r="V30" s="749">
        <v>2572.2704541689213</v>
      </c>
      <c r="W30" s="889">
        <f t="shared" si="1"/>
        <v>3406.7688239240592</v>
      </c>
      <c r="X30" s="749">
        <f t="shared" si="2"/>
        <v>0.48025258666520509</v>
      </c>
      <c r="Y30" s="749">
        <f t="shared" si="3"/>
        <v>0.33661430465799214</v>
      </c>
      <c r="Z30" s="749"/>
      <c r="AA30" s="749">
        <f>C30/AVERAGE(BN23)</f>
        <v>140002.22173264541</v>
      </c>
      <c r="AB30" s="868">
        <v>140002.22173264541</v>
      </c>
      <c r="AC30" s="571" t="e">
        <v>#DIV/0!</v>
      </c>
      <c r="AD30" s="571" t="e">
        <v>#DIV/0!</v>
      </c>
      <c r="AE30" s="779"/>
      <c r="AF30" s="749"/>
      <c r="AG30" s="868">
        <v>1.168631125714774E-2</v>
      </c>
      <c r="AH30" s="571" t="e">
        <v>#DIV/0!</v>
      </c>
      <c r="AI30" s="862" t="e">
        <v>#DIV/0!</v>
      </c>
      <c r="AJ30" s="407" t="s">
        <v>24</v>
      </c>
      <c r="AL30" s="976" t="s">
        <v>856</v>
      </c>
      <c r="AM30" s="979"/>
      <c r="AN30" s="1190"/>
      <c r="AO30" s="1190"/>
      <c r="AP30" s="979">
        <v>742139.13257334731</v>
      </c>
      <c r="AQ30" s="979">
        <v>322.04652559082223</v>
      </c>
      <c r="AR30" s="1032">
        <v>207400</v>
      </c>
      <c r="AS30" s="979">
        <v>213910.30399564051</v>
      </c>
      <c r="AT30" s="979">
        <v>1205.9378502664345</v>
      </c>
      <c r="AU30" s="979"/>
      <c r="AV30" s="978"/>
      <c r="AW30" s="980">
        <v>6.9777462011567195</v>
      </c>
      <c r="AX30" s="980">
        <v>6.3224675864342963</v>
      </c>
      <c r="AY30" s="979">
        <v>13.279772769417072</v>
      </c>
      <c r="AZ30" s="977" t="s">
        <v>922</v>
      </c>
      <c r="BA30" s="979">
        <v>35.484336632167455</v>
      </c>
      <c r="BB30" s="979">
        <v>255.43487765361166</v>
      </c>
      <c r="BC30" s="979">
        <v>210.00850888699915</v>
      </c>
      <c r="BD30" s="980">
        <v>2.4224421489527197</v>
      </c>
      <c r="BE30" s="980">
        <v>2.6232060727165183</v>
      </c>
      <c r="BF30" s="979">
        <v>42.302932149898425</v>
      </c>
      <c r="BG30" s="978"/>
      <c r="BH30" s="979">
        <v>40.723918257108643</v>
      </c>
      <c r="BI30" s="978"/>
      <c r="BJ30" s="978"/>
      <c r="BK30" s="979">
        <v>11.259683635368285</v>
      </c>
      <c r="BL30" s="978">
        <v>6.6031617733313772E-2</v>
      </c>
      <c r="BM30" s="978">
        <v>2.5946850188333963E-2</v>
      </c>
      <c r="BN30" s="978">
        <v>4.4725915258447033E-2</v>
      </c>
      <c r="BO30" s="978">
        <v>0.37602171556586761</v>
      </c>
      <c r="BP30" s="979">
        <v>34.012183636622908</v>
      </c>
      <c r="BQ30" s="978"/>
      <c r="BR30" s="978"/>
      <c r="BS30" s="983"/>
      <c r="BT30" s="984">
        <v>45.488002777099595</v>
      </c>
      <c r="BU30" s="985">
        <v>2.5852344074067832</v>
      </c>
      <c r="BV30" s="983"/>
      <c r="BW30" s="983" t="s">
        <v>854</v>
      </c>
    </row>
    <row r="31" spans="1:75" ht="17">
      <c r="A31" s="407" t="s">
        <v>270</v>
      </c>
      <c r="B31" s="407" t="s">
        <v>25</v>
      </c>
      <c r="C31" s="1455">
        <f>AVERAGE(BO$16:BO$20)</f>
        <v>233.0702813402132</v>
      </c>
      <c r="D31" s="438">
        <f>STDEV(BO$16:BO$20)</f>
        <v>56.188654498368471</v>
      </c>
      <c r="E31" s="1455">
        <v>112.37730899673694</v>
      </c>
      <c r="F31" s="811">
        <f>AVERAGE(BO$21:BO$25)</f>
        <v>1.7848812126832056E-3</v>
      </c>
      <c r="G31" s="811" t="e">
        <f>STDEV(BO$21:BO$25)</f>
        <v>#DIV/0!</v>
      </c>
      <c r="H31" s="811" t="e">
        <v>#DIV/0!</v>
      </c>
      <c r="I31" s="438">
        <f>AVERAGE(BO$26:BO$30)</f>
        <v>0.37168281882125304</v>
      </c>
      <c r="J31" s="438">
        <f>STDEV(BO$26:BO$30)</f>
        <v>0.14504428736769537</v>
      </c>
      <c r="K31" s="438">
        <v>0.29008857473539074</v>
      </c>
      <c r="L31" s="1437">
        <v>627.06767581931103</v>
      </c>
      <c r="M31" s="1443">
        <v>287.63507340607123</v>
      </c>
      <c r="N31" s="1478">
        <v>575.27014681214246</v>
      </c>
      <c r="O31" s="407">
        <v>0.95</v>
      </c>
      <c r="P31" s="404">
        <v>-4.2</v>
      </c>
      <c r="Q31" s="779">
        <v>0.43961061299999998</v>
      </c>
      <c r="R31" s="749">
        <f t="shared" si="0"/>
        <v>0.21552651924152164</v>
      </c>
      <c r="S31" s="749">
        <v>398.72841007312667</v>
      </c>
      <c r="T31" s="749">
        <v>956.30087609219504</v>
      </c>
      <c r="U31" s="749">
        <v>199.71157279929724</v>
      </c>
      <c r="V31" s="749">
        <v>357.86089321977113</v>
      </c>
      <c r="W31" s="889">
        <f t="shared" si="1"/>
        <v>598.43998287242391</v>
      </c>
      <c r="X31" s="749">
        <f t="shared" si="2"/>
        <v>1.0478371996628273</v>
      </c>
      <c r="Y31" s="749">
        <f t="shared" si="3"/>
        <v>0.48064147055393114</v>
      </c>
      <c r="Z31" s="749"/>
      <c r="AA31" s="749">
        <f>C31/AVERAGE(BO22)</f>
        <v>130580.27597805204</v>
      </c>
      <c r="AB31" s="868">
        <v>130580.27597805204</v>
      </c>
      <c r="AC31" s="571" t="e">
        <v>#DIV/0!</v>
      </c>
      <c r="AD31" s="571" t="e">
        <v>#DIV/0!</v>
      </c>
      <c r="AE31" s="749">
        <f>AVERAGE(0.05,BO22,BO9,BO9,0.05)/I31</f>
        <v>6.221061785487083E-2</v>
      </c>
      <c r="AF31" s="749"/>
      <c r="AG31" s="868">
        <v>4.8021622800422676E-3</v>
      </c>
      <c r="AH31" s="571" t="e">
        <v>#DIV/0!</v>
      </c>
      <c r="AI31" s="862" t="e">
        <v>#DIV/0!</v>
      </c>
      <c r="AJ31" s="407" t="s">
        <v>25</v>
      </c>
      <c r="AL31" s="335" t="s">
        <v>601</v>
      </c>
      <c r="AM31" s="332"/>
      <c r="AN31" s="581"/>
      <c r="AO31" s="581"/>
      <c r="AP31" s="332">
        <v>977756.63192266133</v>
      </c>
      <c r="AQ31" s="332">
        <v>4777.45619004325</v>
      </c>
      <c r="AR31" s="334">
        <v>55500</v>
      </c>
      <c r="AS31" s="332">
        <v>55673.255869693603</v>
      </c>
      <c r="AT31" s="332">
        <v>145.98681978951805</v>
      </c>
      <c r="AU31" s="332"/>
      <c r="AV31" s="330"/>
      <c r="AW31" s="332">
        <v>58.554381047987562</v>
      </c>
      <c r="AX31" s="332">
        <v>58.727884645699589</v>
      </c>
      <c r="AY31" s="332">
        <v>173.87852252624981</v>
      </c>
      <c r="AZ31" s="332">
        <v>179.40555708888053</v>
      </c>
      <c r="BA31" s="333">
        <v>4.3764085023987587</v>
      </c>
      <c r="BB31" s="333">
        <v>6.9429219515844256</v>
      </c>
      <c r="BC31" s="333">
        <v>6.5427480440531856</v>
      </c>
      <c r="BD31" s="332">
        <v>20.635466941751595</v>
      </c>
      <c r="BE31" s="333">
        <v>2.237489862704392</v>
      </c>
      <c r="BF31" s="333">
        <v>1.4707740666112912</v>
      </c>
      <c r="BG31" s="330"/>
      <c r="BH31" s="333">
        <v>1.327508931141562</v>
      </c>
      <c r="BI31" s="330"/>
      <c r="BJ31" s="330"/>
      <c r="BK31" s="333">
        <v>2.7695961352163647</v>
      </c>
      <c r="BL31" s="333">
        <v>1.1698341130461618</v>
      </c>
      <c r="BM31" s="333">
        <v>9.5554772469409173</v>
      </c>
      <c r="BN31" s="332">
        <v>15.560106941791087</v>
      </c>
      <c r="BO31" s="332">
        <v>30.825276080523455</v>
      </c>
      <c r="BP31" s="330">
        <v>0.69317800504547855</v>
      </c>
      <c r="BQ31" s="330"/>
      <c r="BR31" s="330"/>
      <c r="BS31" s="327"/>
      <c r="BT31" s="329">
        <v>43.449998855590806</v>
      </c>
      <c r="BU31" s="328">
        <v>1.0862151641698816</v>
      </c>
      <c r="BV31" s="327"/>
      <c r="BW31" s="326" t="s">
        <v>848</v>
      </c>
    </row>
    <row r="32" spans="1:75" ht="18" thickBot="1">
      <c r="A32" s="407" t="s">
        <v>270</v>
      </c>
      <c r="B32" s="407" t="s">
        <v>26</v>
      </c>
      <c r="C32" s="405" t="e">
        <f>AVERAGE(BP$16:BP$20)</f>
        <v>#DIV/0!</v>
      </c>
      <c r="D32" s="405" t="e">
        <f>STDEV(BP$16:BP$20)</f>
        <v>#DIV/0!</v>
      </c>
      <c r="E32" s="405" t="e">
        <v>#DIV/0!</v>
      </c>
      <c r="F32" s="405">
        <f>AVERAGE(BP$21:BP$25)</f>
        <v>0.46998657692527213</v>
      </c>
      <c r="G32" s="405" t="e">
        <f>STDEV(BP$21:BP$25)</f>
        <v>#DIV/0!</v>
      </c>
      <c r="H32" s="405" t="e">
        <v>#DIV/0!</v>
      </c>
      <c r="I32" s="1455">
        <f>AVERAGE(BP$26:BP$30)</f>
        <v>38.642042219336837</v>
      </c>
      <c r="J32" s="438">
        <f>STDEV(BP$26:BP$30)</f>
        <v>7.2734447892010028</v>
      </c>
      <c r="K32" s="1455">
        <v>14.546889578402006</v>
      </c>
      <c r="L32" s="1323" t="e">
        <v>#DIV/0!</v>
      </c>
      <c r="M32" s="571" t="e">
        <v>#DIV/0!</v>
      </c>
      <c r="N32" s="862" t="e">
        <v>#DIV/0!</v>
      </c>
      <c r="O32" s="407">
        <v>0.37</v>
      </c>
      <c r="P32" s="404">
        <v>-1.72</v>
      </c>
      <c r="Q32" s="779">
        <v>0.43961061299999998</v>
      </c>
      <c r="R32" s="749">
        <f t="shared" si="0"/>
        <v>0.21552651924152164</v>
      </c>
      <c r="S32" s="749">
        <v>4.3889806342659741</v>
      </c>
      <c r="T32" s="749">
        <v>6.2798442740120501</v>
      </c>
      <c r="U32" s="749">
        <v>0.79401083560738428</v>
      </c>
      <c r="V32" s="749">
        <v>1.0968528041386918</v>
      </c>
      <c r="W32" s="889">
        <f t="shared" si="1"/>
        <v>5.1829914698733583</v>
      </c>
      <c r="X32" s="749" t="e">
        <f t="shared" si="2"/>
        <v>#DIV/0!</v>
      </c>
      <c r="Y32" s="749" t="e">
        <f t="shared" si="3"/>
        <v>#DIV/0!</v>
      </c>
      <c r="Z32" s="749"/>
      <c r="AA32" s="749"/>
      <c r="AB32" s="868" t="e">
        <v>#DIV/0!</v>
      </c>
      <c r="AC32" s="571" t="e">
        <v>#DIV/0!</v>
      </c>
      <c r="AD32" s="571" t="e">
        <v>#DIV/0!</v>
      </c>
      <c r="AE32" s="749"/>
      <c r="AF32" s="749"/>
      <c r="AG32" s="868">
        <v>1.216257086666311E-2</v>
      </c>
      <c r="AH32" s="571" t="e">
        <v>#DIV/0!</v>
      </c>
      <c r="AI32" s="862" t="e">
        <v>#DIV/0!</v>
      </c>
      <c r="AJ32" s="407" t="s">
        <v>26</v>
      </c>
      <c r="AL32" s="325" t="s">
        <v>598</v>
      </c>
      <c r="AM32" s="321"/>
      <c r="AN32" s="321"/>
      <c r="AO32" s="321"/>
      <c r="AP32" s="321">
        <v>913314.71715064521</v>
      </c>
      <c r="AQ32" s="321">
        <v>4506.2479235067767</v>
      </c>
      <c r="AR32" s="324">
        <v>55500</v>
      </c>
      <c r="AS32" s="321">
        <v>55326.955510299405</v>
      </c>
      <c r="AT32" s="321">
        <v>146.64687914859678</v>
      </c>
      <c r="AU32" s="321"/>
      <c r="AV32" s="320"/>
      <c r="AW32" s="321">
        <v>58.500335344992294</v>
      </c>
      <c r="AX32" s="321">
        <v>58.328247329979881</v>
      </c>
      <c r="AY32" s="321">
        <v>183.34784571558623</v>
      </c>
      <c r="AZ32" s="321">
        <v>177.82275317347296</v>
      </c>
      <c r="BA32" s="322">
        <v>4.3012805407907182</v>
      </c>
      <c r="BB32" s="322">
        <v>5.9722046239458777</v>
      </c>
      <c r="BC32" s="322">
        <v>6.3736000707972273</v>
      </c>
      <c r="BD32" s="321">
        <v>19.731731601499622</v>
      </c>
      <c r="BE32" s="322">
        <v>2.0006273524699192</v>
      </c>
      <c r="BF32" s="322">
        <v>1.4147769798202805</v>
      </c>
      <c r="BG32" s="320"/>
      <c r="BH32" s="322">
        <v>1.5594403889615069</v>
      </c>
      <c r="BI32" s="320"/>
      <c r="BJ32" s="320"/>
      <c r="BK32" s="322">
        <v>2.9823546532689562</v>
      </c>
      <c r="BL32" s="322">
        <v>1.1308088484726921</v>
      </c>
      <c r="BM32" s="322">
        <v>9.496751054522294</v>
      </c>
      <c r="BN32" s="321">
        <v>14.916158911853403</v>
      </c>
      <c r="BO32" s="321">
        <v>29.924947069748733</v>
      </c>
      <c r="BP32" s="320">
        <v>0.63955927778432731</v>
      </c>
      <c r="BQ32" s="320"/>
      <c r="BR32" s="320"/>
      <c r="BS32" s="317"/>
      <c r="BT32" s="319">
        <v>44.809000015258796</v>
      </c>
      <c r="BU32" s="318">
        <v>1.0916045843387578</v>
      </c>
      <c r="BV32" s="317"/>
      <c r="BW32" s="316" t="s">
        <v>844</v>
      </c>
    </row>
    <row r="33" spans="1:75" ht="17">
      <c r="A33" s="435" t="s">
        <v>313</v>
      </c>
      <c r="B33" s="435" t="s">
        <v>27</v>
      </c>
      <c r="C33" s="405">
        <f>AVERAGE(BQ$54:BQ$58)</f>
        <v>0.144451172503168</v>
      </c>
      <c r="D33" s="405" t="e">
        <f>STDEV(BQ$54:BQ$58)</f>
        <v>#DIV/0!</v>
      </c>
      <c r="E33" s="405" t="e">
        <v>#DIV/0!</v>
      </c>
      <c r="F33" s="1554">
        <f>AVERAGE(BQ$59:BQ$63)</f>
        <v>0.61728595054860125</v>
      </c>
      <c r="G33" s="405">
        <f>STDEV(BQ$59:BQ$63)</f>
        <v>0.67263754311524393</v>
      </c>
      <c r="H33" s="1554">
        <v>1.3452750862304879</v>
      </c>
      <c r="I33" s="1453">
        <f>AVERAGE(BQ$64:BQ$68)</f>
        <v>409.47357881875377</v>
      </c>
      <c r="J33" s="434">
        <f>STDEV(BQ$64:BQ$68)</f>
        <v>92.881575490837406</v>
      </c>
      <c r="K33" s="1453">
        <v>185.76315098167481</v>
      </c>
      <c r="L33" s="1323">
        <v>3.5277287711671075E-4</v>
      </c>
      <c r="M33" s="571" t="e">
        <v>#DIV/0!</v>
      </c>
      <c r="N33" s="862" t="e">
        <v>#DIV/0!</v>
      </c>
      <c r="O33" s="435">
        <v>2.5000000000000001E-2</v>
      </c>
      <c r="P33" s="433">
        <v>3</v>
      </c>
      <c r="Q33" s="778">
        <v>0.43961061299999998</v>
      </c>
      <c r="R33" s="570">
        <f t="shared" si="0"/>
        <v>0.21552651924152164</v>
      </c>
      <c r="S33" s="1333">
        <f>O33*(((1-(2*C47))/(1-C47))^P33)</f>
        <v>1.7907385725190621E-4</v>
      </c>
      <c r="T33" s="1333">
        <f>O33*(((1-(2*C46))/(1-C46))^P33)</f>
        <v>3.3450432726127972E-4</v>
      </c>
      <c r="U33" s="1333">
        <v>7.1215368005619808E-5</v>
      </c>
      <c r="V33" s="1333">
        <v>8.4215102003753703E-5</v>
      </c>
      <c r="W33" s="1363">
        <f t="shared" si="1"/>
        <v>2.5028922525752601E-4</v>
      </c>
      <c r="X33" s="573">
        <f t="shared" si="2"/>
        <v>1.4094609016977775</v>
      </c>
      <c r="Y33" s="570" t="e">
        <f t="shared" si="3"/>
        <v>#DIV/0!</v>
      </c>
      <c r="Z33" s="570">
        <f>AVERAGE(0.32,0.14,0.24,0.34,0.11)/F33</f>
        <v>0.37259879282136887</v>
      </c>
      <c r="AA33" s="570"/>
      <c r="AB33" s="868">
        <v>0.23401014128831174</v>
      </c>
      <c r="AC33" s="571" t="e">
        <v>#DIV/0!</v>
      </c>
      <c r="AD33" s="571" t="e">
        <v>#DIV/0!</v>
      </c>
      <c r="AE33" s="570"/>
      <c r="AF33" s="570"/>
      <c r="AG33" s="1506">
        <v>1.5075110641554531E-3</v>
      </c>
      <c r="AH33" s="571">
        <v>1.6779023212264307E-3</v>
      </c>
      <c r="AI33" s="1469">
        <v>3.3558046424528613E-3</v>
      </c>
      <c r="AJ33" s="435" t="s">
        <v>27</v>
      </c>
      <c r="AL33" s="315" t="s">
        <v>921</v>
      </c>
      <c r="AM33" s="339"/>
      <c r="AN33" s="339"/>
      <c r="AO33" s="339"/>
      <c r="AP33" s="453" t="s">
        <v>920</v>
      </c>
      <c r="AQ33" s="339">
        <v>420.28146458802939</v>
      </c>
      <c r="AR33" s="342">
        <v>459</v>
      </c>
      <c r="AS33" s="453" t="s">
        <v>919</v>
      </c>
      <c r="AT33" s="339">
        <v>377.82129726508663</v>
      </c>
      <c r="AU33" s="339"/>
      <c r="AV33" s="340"/>
      <c r="AW33" s="339">
        <v>393.33109137674666</v>
      </c>
      <c r="AX33" s="339">
        <v>340.63789658277358</v>
      </c>
      <c r="AY33" s="339">
        <v>333.68094297963319</v>
      </c>
      <c r="AZ33" s="339">
        <v>334.0833370151322</v>
      </c>
      <c r="BA33" s="339">
        <v>254.015659133041</v>
      </c>
      <c r="BB33" s="339">
        <v>430.6242096286777</v>
      </c>
      <c r="BC33" s="339">
        <v>351.54328019569817</v>
      </c>
      <c r="BD33" s="338">
        <v>0</v>
      </c>
      <c r="BE33" s="338">
        <v>0.98516737358490403</v>
      </c>
      <c r="BF33" s="340">
        <v>4.224396154659936</v>
      </c>
      <c r="BG33" s="338"/>
      <c r="BH33" s="340">
        <v>5.7751710485582191</v>
      </c>
      <c r="BI33" s="338"/>
      <c r="BJ33" s="338"/>
      <c r="BK33" s="339">
        <v>427.85057378369845</v>
      </c>
      <c r="BL33" s="339">
        <v>51.15925125066456</v>
      </c>
      <c r="BM33" s="338">
        <v>1.1307247785142215E-2</v>
      </c>
      <c r="BN33" s="341" t="s">
        <v>124</v>
      </c>
      <c r="BO33" s="340">
        <v>3.6268577097879806</v>
      </c>
      <c r="BP33" s="339">
        <v>19.797010233000798</v>
      </c>
      <c r="BQ33" s="338"/>
      <c r="BR33" s="338"/>
      <c r="BS33" s="336"/>
      <c r="BT33" s="313">
        <v>44.809001922607393</v>
      </c>
      <c r="BU33" s="337">
        <v>2.4254473611389864</v>
      </c>
      <c r="BV33" s="336"/>
      <c r="BW33" s="336" t="s">
        <v>843</v>
      </c>
    </row>
    <row r="34" spans="1:75" ht="17">
      <c r="A34" s="435" t="s">
        <v>313</v>
      </c>
      <c r="B34" s="435" t="s">
        <v>28</v>
      </c>
      <c r="C34" s="434">
        <f>AVERAGE(BR$54:BR$58)</f>
        <v>9.902680532177055E-2</v>
      </c>
      <c r="D34" s="434">
        <f>STDEV(BR$54:BR$58)</f>
        <v>3.2224366911256665E-2</v>
      </c>
      <c r="E34" s="434">
        <v>6.4448733822513329E-2</v>
      </c>
      <c r="F34" s="1554">
        <f>AVERAGE(BR$59:BR$63)</f>
        <v>0.89273648717048637</v>
      </c>
      <c r="G34" s="405">
        <f>STDEV(BR$59:BR$63)</f>
        <v>0.94631738520623765</v>
      </c>
      <c r="H34" s="1554">
        <v>1.8926347704124753</v>
      </c>
      <c r="I34" s="1453">
        <f>AVERAGE(BR$64:BR$68)</f>
        <v>340.8911784250937</v>
      </c>
      <c r="J34" s="434">
        <f>STDEV(BR$64:BR$68)</f>
        <v>79.064748245584056</v>
      </c>
      <c r="K34" s="1453">
        <v>158.12949649116811</v>
      </c>
      <c r="L34" s="1548">
        <v>2.9049389244764623E-4</v>
      </c>
      <c r="M34" s="1333">
        <v>1.1608350989071955E-4</v>
      </c>
      <c r="N34" s="1334">
        <v>2.321670197814391E-4</v>
      </c>
      <c r="O34" s="435">
        <v>1.2E-2</v>
      </c>
      <c r="P34" s="1450">
        <v>3.3</v>
      </c>
      <c r="Q34" s="778">
        <v>0.43961061299999998</v>
      </c>
      <c r="R34" s="570">
        <f t="shared" si="0"/>
        <v>0.21552651924152164</v>
      </c>
      <c r="S34" s="1355">
        <f>O34*(((1-(2*C47))/(1-C47))^P34)</f>
        <v>5.2454486968810649E-5</v>
      </c>
      <c r="T34" s="1355">
        <f>O34*(((1-(2*C46))/(1-C46))^P34)</f>
        <v>1.0430116296376822E-4</v>
      </c>
      <c r="U34" s="1355">
        <v>2.3356754027121406E-5</v>
      </c>
      <c r="V34" s="1355">
        <v>2.848992196783616E-5</v>
      </c>
      <c r="W34" s="1372">
        <f t="shared" si="1"/>
        <v>7.5811240995932055E-5</v>
      </c>
      <c r="X34" s="573">
        <f t="shared" si="2"/>
        <v>3.8318050018892817</v>
      </c>
      <c r="Y34" s="570">
        <f t="shared" si="3"/>
        <v>1.5312176448470016</v>
      </c>
      <c r="Z34" s="570">
        <f>AVERAGE(0.12, 0.08, 0.09, 0.13, 0.06)/F34</f>
        <v>0.10753453161108092</v>
      </c>
      <c r="AA34" s="570"/>
      <c r="AB34" s="868">
        <v>0.1109250117418572</v>
      </c>
      <c r="AC34" s="571">
        <v>0.12299836801008668</v>
      </c>
      <c r="AD34" s="862">
        <v>0.24599673602017336</v>
      </c>
      <c r="AE34" s="570"/>
      <c r="AF34" s="570"/>
      <c r="AG34" s="785">
        <v>2.6188312977029806E-3</v>
      </c>
      <c r="AH34" s="571">
        <v>2.8416838509198045E-3</v>
      </c>
      <c r="AI34" s="1469">
        <v>5.6833677018396089E-3</v>
      </c>
      <c r="AJ34" s="435" t="s">
        <v>28</v>
      </c>
      <c r="AL34" s="315" t="s">
        <v>918</v>
      </c>
      <c r="AM34" s="338"/>
      <c r="AN34" s="338"/>
      <c r="AO34" s="338"/>
      <c r="AP34" s="341" t="s">
        <v>917</v>
      </c>
      <c r="AQ34" s="339">
        <v>435.21763403808046</v>
      </c>
      <c r="AR34" s="342">
        <v>459</v>
      </c>
      <c r="AS34" s="453" t="s">
        <v>916</v>
      </c>
      <c r="AT34" s="339">
        <v>384.55044810957281</v>
      </c>
      <c r="AU34" s="339"/>
      <c r="AV34" s="340"/>
      <c r="AW34" s="339">
        <v>398.07211954707981</v>
      </c>
      <c r="AX34" s="339">
        <v>357.9751086643638</v>
      </c>
      <c r="AY34" s="339">
        <v>343.41972222191151</v>
      </c>
      <c r="AZ34" s="339">
        <v>342.49011711989533</v>
      </c>
      <c r="BA34" s="339">
        <v>258.98201537363212</v>
      </c>
      <c r="BB34" s="339">
        <v>428.51379660159603</v>
      </c>
      <c r="BC34" s="339">
        <v>337.55165930349523</v>
      </c>
      <c r="BD34" s="338">
        <v>7.4120828758630925E-3</v>
      </c>
      <c r="BE34" s="340">
        <v>0.9951697058625224</v>
      </c>
      <c r="BF34" s="340">
        <v>4.1767249191438633</v>
      </c>
      <c r="BG34" s="338"/>
      <c r="BH34" s="340">
        <v>5.4503090268401841</v>
      </c>
      <c r="BI34" s="338"/>
      <c r="BJ34" s="338"/>
      <c r="BK34" s="339">
        <v>422.56421960721735</v>
      </c>
      <c r="BL34" s="339">
        <v>48.945038660457797</v>
      </c>
      <c r="BM34" s="338">
        <v>4.613765902302757E-2</v>
      </c>
      <c r="BN34" s="338">
        <v>7.0489346717099027E-2</v>
      </c>
      <c r="BO34" s="340">
        <v>3.7134385284788141</v>
      </c>
      <c r="BP34" s="339">
        <v>20.548802976633127</v>
      </c>
      <c r="BQ34" s="338"/>
      <c r="BR34" s="338"/>
      <c r="BS34" s="336"/>
      <c r="BT34" s="313">
        <v>44.809001922607393</v>
      </c>
      <c r="BU34" s="337">
        <v>2.3437066861832285</v>
      </c>
      <c r="BV34" s="336"/>
      <c r="BW34" s="336" t="s">
        <v>842</v>
      </c>
    </row>
    <row r="35" spans="1:75" ht="17">
      <c r="A35" s="933" t="s">
        <v>1395</v>
      </c>
      <c r="B35" s="933" t="s">
        <v>6</v>
      </c>
      <c r="L35" s="974">
        <f>H40/B40</f>
        <v>1.161691172074242</v>
      </c>
      <c r="M35" s="386">
        <f>L35*SQRT((I40/H40)^2 + (C40/B40)^2)</f>
        <v>1.7907690529608944E-2</v>
      </c>
      <c r="N35" s="975">
        <f>2*M35</f>
        <v>3.5815381059217888E-2</v>
      </c>
      <c r="AB35" s="974">
        <f>H40/E40</f>
        <v>0.90437546153214998</v>
      </c>
      <c r="AC35" s="386">
        <f>AB35*SQRT((I40/H40)^2 + (F40/E40)^2)</f>
        <v>1.0742969598902724E-2</v>
      </c>
      <c r="AD35" s="975">
        <f>2*AC35</f>
        <v>2.1485939197805448E-2</v>
      </c>
      <c r="AE35"/>
      <c r="AF35"/>
      <c r="AG35" s="974">
        <f>E40/B40</f>
        <v>1.2845231007331401</v>
      </c>
      <c r="AH35" s="386">
        <f>AG35*SQRT((C40/B40)^2 + (F40/E40)^2)</f>
        <v>2.1479827910905681E-2</v>
      </c>
      <c r="AI35" s="975">
        <f>2*AH35</f>
        <v>4.2959655821811361E-2</v>
      </c>
      <c r="AK35" s="1192"/>
      <c r="AL35" s="307"/>
      <c r="AM35" s="307"/>
      <c r="AN35" s="307"/>
      <c r="AO35" s="307"/>
      <c r="AP35" s="307"/>
      <c r="AQ35" s="370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11"/>
      <c r="BQ35" s="311"/>
      <c r="BR35" s="307"/>
      <c r="BS35" s="307"/>
      <c r="BT35" s="307"/>
      <c r="BU35" s="307"/>
      <c r="BV35" s="307"/>
    </row>
    <row r="36" spans="1:75" ht="18" thickBot="1">
      <c r="A36" s="933" t="s">
        <v>1395</v>
      </c>
      <c r="B36" s="933" t="s">
        <v>8</v>
      </c>
      <c r="L36" s="971">
        <f>H41/B41</f>
        <v>2.1185115626521491</v>
      </c>
      <c r="M36" s="972">
        <f>L36*SQRT((I41/H41)^2 + (C41/B41)^2)</f>
        <v>8.1500782226924681E-2</v>
      </c>
      <c r="N36" s="973">
        <f>2*M36</f>
        <v>0.16300156445384936</v>
      </c>
      <c r="AB36" s="1481">
        <f>H41/E41</f>
        <v>24.706156716417915</v>
      </c>
      <c r="AC36" s="972">
        <f>AB36*SQRT((I41/H41)^2 + (F41/E41)^2)</f>
        <v>0.69816262359685344</v>
      </c>
      <c r="AD36" s="1054">
        <f>2*AC36</f>
        <v>1.3963252471937069</v>
      </c>
      <c r="AE36"/>
      <c r="AF36"/>
      <c r="AG36" s="1505">
        <f>E41/B41</f>
        <v>8.5748325284617843E-2</v>
      </c>
      <c r="AH36" s="1486">
        <f>AG36*SQRT((C41/B41)^2 + (F41/E41)^2)</f>
        <v>3.5094562765802372E-3</v>
      </c>
      <c r="AI36" s="1501">
        <f>2*AH36</f>
        <v>7.0189125531604744E-3</v>
      </c>
      <c r="AK36" s="1192"/>
      <c r="AL36" s="311" t="s">
        <v>1398</v>
      </c>
      <c r="AM36" s="311">
        <v>408</v>
      </c>
      <c r="AN36" s="311">
        <v>444</v>
      </c>
      <c r="AO36" s="311">
        <v>458</v>
      </c>
      <c r="AP36" s="311">
        <v>410</v>
      </c>
      <c r="AQ36" s="446">
        <v>458.7</v>
      </c>
      <c r="AR36" s="311">
        <v>458.7</v>
      </c>
      <c r="AS36" s="311">
        <v>441</v>
      </c>
      <c r="AT36" s="311">
        <v>460</v>
      </c>
      <c r="AU36" s="311">
        <v>460</v>
      </c>
      <c r="AV36" s="311">
        <v>433</v>
      </c>
      <c r="AW36" s="311">
        <v>433</v>
      </c>
      <c r="AX36" s="311">
        <v>447</v>
      </c>
      <c r="AY36" s="311">
        <v>447</v>
      </c>
      <c r="AZ36" s="311">
        <v>325</v>
      </c>
      <c r="BA36" s="311">
        <v>417</v>
      </c>
      <c r="BB36" s="311">
        <v>417</v>
      </c>
      <c r="BC36" s="308" t="s">
        <v>94</v>
      </c>
      <c r="BD36" s="308">
        <v>1.29</v>
      </c>
      <c r="BE36" s="308">
        <v>1.05</v>
      </c>
      <c r="BF36" s="311">
        <v>251</v>
      </c>
      <c r="BG36" s="311" t="s">
        <v>94</v>
      </c>
      <c r="BH36" s="311">
        <v>430</v>
      </c>
      <c r="BI36" s="311">
        <v>396</v>
      </c>
      <c r="BJ36" s="311">
        <v>444</v>
      </c>
      <c r="BK36" s="311">
        <v>49</v>
      </c>
      <c r="BL36" s="308" t="s">
        <v>94</v>
      </c>
      <c r="BM36" s="308" t="s">
        <v>94</v>
      </c>
      <c r="BN36" s="308">
        <v>3.15</v>
      </c>
      <c r="BO36" s="308">
        <v>22.1</v>
      </c>
      <c r="BP36" s="311">
        <v>426</v>
      </c>
      <c r="BQ36" s="311">
        <v>357.7</v>
      </c>
      <c r="BR36" s="307"/>
      <c r="BS36" s="307"/>
      <c r="BT36" s="307"/>
      <c r="BU36" s="307"/>
      <c r="BV36" s="307"/>
    </row>
    <row r="38" spans="1:75" ht="17" thickBot="1">
      <c r="A38" s="761" t="s">
        <v>915</v>
      </c>
      <c r="B38" s="762" t="s">
        <v>914</v>
      </c>
      <c r="C38" s="762" t="s">
        <v>819</v>
      </c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Y38" s="580"/>
      <c r="Z38" s="580"/>
      <c r="AA38" s="580"/>
    </row>
    <row r="39" spans="1:75" ht="34">
      <c r="A39" s="763"/>
      <c r="B39" s="746" t="s">
        <v>390</v>
      </c>
      <c r="C39" s="757" t="s">
        <v>1349</v>
      </c>
      <c r="D39" s="1423" t="s">
        <v>1419</v>
      </c>
      <c r="E39" s="746" t="s">
        <v>389</v>
      </c>
      <c r="F39" s="757" t="s">
        <v>1347</v>
      </c>
      <c r="G39" s="1423" t="s">
        <v>1417</v>
      </c>
      <c r="H39" s="746" t="s">
        <v>388</v>
      </c>
      <c r="I39" s="757" t="s">
        <v>1348</v>
      </c>
      <c r="J39" s="1422" t="s">
        <v>1418</v>
      </c>
      <c r="N39" s="762"/>
      <c r="P39" s="768" t="s">
        <v>818</v>
      </c>
      <c r="Q39" s="759" t="s">
        <v>817</v>
      </c>
      <c r="R39" s="759" t="s">
        <v>572</v>
      </c>
      <c r="S39" s="774" t="s">
        <v>816</v>
      </c>
      <c r="T39" s="382"/>
      <c r="U39" s="382"/>
      <c r="V39" s="382"/>
      <c r="W39" s="382"/>
      <c r="X39" s="382"/>
    </row>
    <row r="40" spans="1:75" ht="17" thickBot="1">
      <c r="A40" s="764" t="s">
        <v>6</v>
      </c>
      <c r="B40" s="1413">
        <v>47.440433962264159</v>
      </c>
      <c r="C40" s="755">
        <v>0.6505970661320849</v>
      </c>
      <c r="D40" s="1418" cm="1">
        <f t="array" ref="D40:D42">2*C40:C42</f>
        <v>1.3011941322641698</v>
      </c>
      <c r="E40" s="1413">
        <v>60.938333333333325</v>
      </c>
      <c r="F40" s="755">
        <v>0.58307809134459865</v>
      </c>
      <c r="G40" s="1418" cm="1">
        <f t="array" ref="G40:G42">2*F40:F42</f>
        <v>1.1661561826891973</v>
      </c>
      <c r="H40" s="1413">
        <v>55.111133333333328</v>
      </c>
      <c r="I40" s="755">
        <v>0.38795615854421012</v>
      </c>
      <c r="J40" s="1421" cm="1">
        <f t="array" ref="J40:J42">2*I40:I42</f>
        <v>0.77591231708842023</v>
      </c>
      <c r="N40" s="762"/>
      <c r="P40" s="766"/>
      <c r="Q40" s="769" t="s">
        <v>815</v>
      </c>
      <c r="R40" s="769" t="s">
        <v>814</v>
      </c>
      <c r="S40" s="775" t="s">
        <v>813</v>
      </c>
      <c r="T40" s="382"/>
      <c r="U40" s="382"/>
      <c r="V40" s="382"/>
      <c r="W40" s="382"/>
      <c r="X40" s="382"/>
    </row>
    <row r="41" spans="1:75" ht="19">
      <c r="A41" s="764" t="s">
        <v>8</v>
      </c>
      <c r="B41" s="1413">
        <v>20.836169811320755</v>
      </c>
      <c r="C41" s="755">
        <v>0.7152152404392943</v>
      </c>
      <c r="D41" s="1418">
        <v>1.4304304808785886</v>
      </c>
      <c r="E41" s="725">
        <v>1.7866666666666664</v>
      </c>
      <c r="F41" s="755">
        <v>3.982309365027769E-2</v>
      </c>
      <c r="G41" s="755">
        <v>7.9646187300555379E-2</v>
      </c>
      <c r="H41" s="1413">
        <v>44.141666666666666</v>
      </c>
      <c r="I41" s="755">
        <v>0.76678248607566735</v>
      </c>
      <c r="J41" s="1421">
        <v>1.5335649721513347</v>
      </c>
      <c r="N41" s="762"/>
      <c r="O41" s="762"/>
      <c r="P41" s="762"/>
      <c r="Q41" s="762"/>
      <c r="R41" s="762"/>
      <c r="S41" s="762"/>
      <c r="AL41" s="1191" t="s">
        <v>313</v>
      </c>
      <c r="AM41" s="381" t="s">
        <v>0</v>
      </c>
      <c r="AN41" s="307"/>
      <c r="AO41" s="307"/>
      <c r="AP41" s="373"/>
      <c r="AQ41" s="373"/>
      <c r="AR41" s="307"/>
      <c r="AS41" s="307"/>
      <c r="AT41" s="307"/>
      <c r="AU41" s="307"/>
      <c r="AV41" s="307"/>
      <c r="AW41" s="307"/>
      <c r="AX41" s="307"/>
      <c r="AY41" s="373"/>
      <c r="AZ41" s="373"/>
      <c r="BA41" s="373"/>
      <c r="BB41" s="373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</row>
    <row r="42" spans="1:75" ht="18" thickBot="1">
      <c r="A42" s="766" t="s">
        <v>380</v>
      </c>
      <c r="B42" s="1415">
        <v>30.293245283018869</v>
      </c>
      <c r="C42" s="756">
        <v>0.2620431554461099</v>
      </c>
      <c r="D42" s="1419">
        <v>0.5240863108922198</v>
      </c>
      <c r="E42" s="1415">
        <v>36.709249999999997</v>
      </c>
      <c r="F42" s="756">
        <v>0.33999682485148547</v>
      </c>
      <c r="G42" s="1419">
        <v>0.67999364970297094</v>
      </c>
      <c r="H42" s="1415">
        <v>0.26</v>
      </c>
      <c r="I42" s="756">
        <v>0.84461918722497153</v>
      </c>
      <c r="J42" s="1424">
        <v>1.6892383744499431</v>
      </c>
      <c r="L42" s="1549" t="s">
        <v>1435</v>
      </c>
      <c r="M42" s="1549" t="s">
        <v>1436</v>
      </c>
      <c r="N42" s="762"/>
      <c r="O42" s="762"/>
      <c r="P42" s="762"/>
      <c r="Q42" s="755"/>
      <c r="R42" s="762"/>
      <c r="S42" s="762"/>
      <c r="AL42" s="380"/>
      <c r="AM42" s="307" t="s">
        <v>913</v>
      </c>
      <c r="AN42" s="307"/>
      <c r="AO42" s="307"/>
      <c r="AP42" s="307"/>
      <c r="AQ42" s="373"/>
      <c r="AR42" s="307"/>
      <c r="AS42" s="307"/>
      <c r="AT42" s="307"/>
      <c r="AU42" s="307"/>
      <c r="AV42" s="379"/>
      <c r="AW42" s="378">
        <v>43783.533368055556</v>
      </c>
      <c r="AX42" s="307"/>
      <c r="AY42" s="379"/>
      <c r="AZ42" s="378"/>
      <c r="BA42" s="373"/>
      <c r="BB42" s="373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</row>
    <row r="43" spans="1:75" ht="17">
      <c r="A43" s="762" t="s">
        <v>379</v>
      </c>
      <c r="B43" s="725">
        <f>SUM(B40:B42)</f>
        <v>98.569849056603772</v>
      </c>
      <c r="C43" s="762"/>
      <c r="D43" s="762"/>
      <c r="E43" s="725">
        <f>SUM(E40:E42)</f>
        <v>99.434249999999992</v>
      </c>
      <c r="F43" s="762"/>
      <c r="G43" s="762"/>
      <c r="H43" s="725">
        <f>SUM(H40:H42)</f>
        <v>99.512799999999999</v>
      </c>
      <c r="I43" s="725"/>
      <c r="J43" s="762"/>
      <c r="K43" s="762"/>
      <c r="L43" s="386">
        <f>LN(L34)</f>
        <v>-8.1439280061699257</v>
      </c>
      <c r="M43" s="1550">
        <f>LN(R3)</f>
        <v>-1.5346713178840972</v>
      </c>
      <c r="N43" s="762"/>
      <c r="O43" s="762"/>
      <c r="P43" s="762"/>
      <c r="Q43" s="762"/>
      <c r="R43" s="762"/>
      <c r="S43" s="762"/>
      <c r="AL43" s="309" t="s">
        <v>2</v>
      </c>
      <c r="AM43" s="375" t="s">
        <v>3</v>
      </c>
      <c r="AN43" s="375" t="s">
        <v>4</v>
      </c>
      <c r="AO43" s="375" t="s">
        <v>5</v>
      </c>
      <c r="AP43" s="375" t="s">
        <v>6</v>
      </c>
      <c r="AQ43" s="375" t="s">
        <v>7</v>
      </c>
      <c r="AR43" s="377" t="s">
        <v>8</v>
      </c>
      <c r="AS43" s="375" t="s">
        <v>8</v>
      </c>
      <c r="AT43" s="375" t="s">
        <v>9</v>
      </c>
      <c r="AU43" s="375" t="s">
        <v>10</v>
      </c>
      <c r="AV43" s="375" t="s">
        <v>10</v>
      </c>
      <c r="AW43" s="375" t="s">
        <v>11</v>
      </c>
      <c r="AX43" s="375" t="s">
        <v>11</v>
      </c>
      <c r="AY43" s="375" t="s">
        <v>12</v>
      </c>
      <c r="AZ43" s="375" t="s">
        <v>12</v>
      </c>
      <c r="BA43" s="375" t="s">
        <v>13</v>
      </c>
      <c r="BB43" s="375" t="s">
        <v>14</v>
      </c>
      <c r="BC43" s="375" t="s">
        <v>14</v>
      </c>
      <c r="BD43" s="375" t="s">
        <v>15</v>
      </c>
      <c r="BE43" s="375" t="s">
        <v>16</v>
      </c>
      <c r="BF43" s="375" t="s">
        <v>17</v>
      </c>
      <c r="BG43" s="375" t="s">
        <v>18</v>
      </c>
      <c r="BH43" s="375" t="s">
        <v>17</v>
      </c>
      <c r="BI43" s="375" t="s">
        <v>19</v>
      </c>
      <c r="BJ43" s="375" t="s">
        <v>20</v>
      </c>
      <c r="BK43" s="375" t="s">
        <v>21</v>
      </c>
      <c r="BL43" s="375" t="s">
        <v>22</v>
      </c>
      <c r="BM43" s="375" t="s">
        <v>23</v>
      </c>
      <c r="BN43" s="375" t="s">
        <v>24</v>
      </c>
      <c r="BO43" s="375" t="s">
        <v>25</v>
      </c>
      <c r="BP43" s="375" t="s">
        <v>26</v>
      </c>
      <c r="BQ43" s="375" t="s">
        <v>27</v>
      </c>
      <c r="BR43" s="375" t="s">
        <v>28</v>
      </c>
      <c r="BS43" s="307"/>
      <c r="BT43" s="375" t="s">
        <v>29</v>
      </c>
      <c r="BU43" s="375" t="s">
        <v>30</v>
      </c>
      <c r="BV43" s="375"/>
      <c r="BW43" s="375" t="s">
        <v>31</v>
      </c>
    </row>
    <row r="44" spans="1:75" ht="17">
      <c r="AL44" s="309" t="s">
        <v>32</v>
      </c>
      <c r="AM44" s="307">
        <v>51</v>
      </c>
      <c r="AN44" s="307">
        <v>53</v>
      </c>
      <c r="AO44" s="307">
        <v>55</v>
      </c>
      <c r="AP44" s="307">
        <v>57</v>
      </c>
      <c r="AQ44" s="307">
        <v>59</v>
      </c>
      <c r="AR44" s="370">
        <v>61</v>
      </c>
      <c r="AS44" s="307">
        <v>62</v>
      </c>
      <c r="AT44" s="307">
        <v>63</v>
      </c>
      <c r="AU44" s="307">
        <v>66</v>
      </c>
      <c r="AV44" s="307">
        <v>67</v>
      </c>
      <c r="AW44" s="307">
        <v>69</v>
      </c>
      <c r="AX44" s="307">
        <v>71</v>
      </c>
      <c r="AY44" s="307">
        <v>72</v>
      </c>
      <c r="AZ44" s="307">
        <v>73</v>
      </c>
      <c r="BA44" s="307">
        <v>75</v>
      </c>
      <c r="BB44" s="307">
        <v>95</v>
      </c>
      <c r="BC44" s="307">
        <v>97</v>
      </c>
      <c r="BD44" s="307">
        <v>101</v>
      </c>
      <c r="BE44" s="307">
        <v>103</v>
      </c>
      <c r="BF44" s="307">
        <v>105</v>
      </c>
      <c r="BG44" s="307">
        <v>107</v>
      </c>
      <c r="BH44" s="307">
        <v>108</v>
      </c>
      <c r="BI44" s="307">
        <v>118</v>
      </c>
      <c r="BJ44" s="307">
        <v>121</v>
      </c>
      <c r="BK44" s="307">
        <v>184</v>
      </c>
      <c r="BL44" s="307">
        <v>185</v>
      </c>
      <c r="BM44" s="307">
        <v>189</v>
      </c>
      <c r="BN44" s="307">
        <v>193</v>
      </c>
      <c r="BO44" s="307">
        <v>195</v>
      </c>
      <c r="BP44" s="307">
        <v>197</v>
      </c>
      <c r="BQ44" s="307">
        <v>208</v>
      </c>
      <c r="BR44" s="307">
        <v>209</v>
      </c>
      <c r="BS44" s="307"/>
      <c r="BT44" s="375" t="s">
        <v>33</v>
      </c>
      <c r="BU44" s="375" t="s">
        <v>34</v>
      </c>
      <c r="BV44" s="307"/>
      <c r="BW44" s="307"/>
    </row>
    <row r="45" spans="1:75" ht="17">
      <c r="B45" s="1375" t="s">
        <v>483</v>
      </c>
      <c r="C45" s="1405">
        <f>(B42/32.06)/((B42/32.06)+(B41/58.69)+(B40/55.847))</f>
        <v>0.43961061305302979</v>
      </c>
      <c r="D45" s="1399" t="s">
        <v>1413</v>
      </c>
      <c r="E45" s="1402">
        <f>2*(C45^2)*SQRT(((((C42*32.06)/ B42^2)^2)*((B40/55.845)^2 + (B41/58.693)^2)^2) + (((C40/55.845)^2 + (C41/58.693)^2)*(32.06/B42)^2))</f>
        <v>7.5202277437148033E-3</v>
      </c>
      <c r="AL45" s="309"/>
      <c r="AM45" s="375" t="s">
        <v>35</v>
      </c>
      <c r="AN45" s="375" t="s">
        <v>35</v>
      </c>
      <c r="AO45" s="375" t="s">
        <v>35</v>
      </c>
      <c r="AP45" s="375" t="s">
        <v>35</v>
      </c>
      <c r="AQ45" s="375" t="s">
        <v>35</v>
      </c>
      <c r="AR45" s="376" t="s">
        <v>35</v>
      </c>
      <c r="AS45" s="375" t="s">
        <v>35</v>
      </c>
      <c r="AT45" s="375" t="s">
        <v>35</v>
      </c>
      <c r="AU45" s="375" t="s">
        <v>35</v>
      </c>
      <c r="AV45" s="375" t="s">
        <v>35</v>
      </c>
      <c r="AW45" s="375" t="s">
        <v>35</v>
      </c>
      <c r="AX45" s="375" t="s">
        <v>35</v>
      </c>
      <c r="AY45" s="375" t="s">
        <v>35</v>
      </c>
      <c r="AZ45" s="375" t="s">
        <v>35</v>
      </c>
      <c r="BA45" s="375" t="s">
        <v>35</v>
      </c>
      <c r="BB45" s="375" t="s">
        <v>35</v>
      </c>
      <c r="BC45" s="375" t="s">
        <v>35</v>
      </c>
      <c r="BD45" s="375" t="s">
        <v>35</v>
      </c>
      <c r="BE45" s="375" t="s">
        <v>35</v>
      </c>
      <c r="BF45" s="375" t="s">
        <v>35</v>
      </c>
      <c r="BG45" s="375" t="s">
        <v>35</v>
      </c>
      <c r="BH45" s="375" t="s">
        <v>35</v>
      </c>
      <c r="BI45" s="375" t="s">
        <v>35</v>
      </c>
      <c r="BJ45" s="375" t="s">
        <v>35</v>
      </c>
      <c r="BK45" s="375" t="s">
        <v>35</v>
      </c>
      <c r="BL45" s="375" t="s">
        <v>35</v>
      </c>
      <c r="BM45" s="375" t="s">
        <v>35</v>
      </c>
      <c r="BN45" s="375" t="s">
        <v>35</v>
      </c>
      <c r="BO45" s="375" t="s">
        <v>35</v>
      </c>
      <c r="BP45" s="375" t="s">
        <v>35</v>
      </c>
      <c r="BQ45" s="375" t="s">
        <v>35</v>
      </c>
      <c r="BR45" s="375" t="s">
        <v>35</v>
      </c>
      <c r="BS45" s="307"/>
      <c r="BT45" s="307"/>
      <c r="BU45" s="307"/>
      <c r="BV45" s="307"/>
      <c r="BW45" s="307"/>
    </row>
    <row r="46" spans="1:75" ht="17">
      <c r="B46" s="1399" t="s">
        <v>1404</v>
      </c>
      <c r="C46" s="1405">
        <f>((B42-C42)/32.06)/(((B42-C42)/32.06)+((B41+C41)/58.69)+((B40+C40)/55.847))</f>
        <v>0.43265515435450963</v>
      </c>
      <c r="D46" s="1401" t="s">
        <v>1414</v>
      </c>
      <c r="E46" s="1402">
        <f>C45-C46</f>
        <v>6.9554586985201561E-3</v>
      </c>
      <c r="AL46" s="309"/>
      <c r="AM46" s="373"/>
      <c r="AN46" s="373"/>
      <c r="AO46" s="373"/>
      <c r="AP46" s="373"/>
      <c r="AQ46" s="373"/>
      <c r="AR46" s="374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 s="373"/>
      <c r="BU46" s="373"/>
      <c r="BV46" s="373"/>
      <c r="BW46" s="373"/>
    </row>
    <row r="47" spans="1:75" ht="17">
      <c r="B47" s="1399" t="s">
        <v>1403</v>
      </c>
      <c r="C47" s="1405">
        <f>((B42+C42)/32.06)/(((B42+C42)/32.06)+((B41-C41)/58.69)+((B40-C40)/55.847))</f>
        <v>0.44666818383074341</v>
      </c>
      <c r="D47" s="1401" t="s">
        <v>1415</v>
      </c>
      <c r="E47" s="1402">
        <f>C47-C45</f>
        <v>7.0575707777136287E-3</v>
      </c>
      <c r="AL47" s="309" t="s">
        <v>36</v>
      </c>
      <c r="AM47" s="310">
        <v>54.3</v>
      </c>
      <c r="AN47" s="310">
        <v>2646</v>
      </c>
      <c r="AO47" s="310">
        <v>1933</v>
      </c>
      <c r="AP47" s="310">
        <v>184300</v>
      </c>
      <c r="AQ47" s="310">
        <v>506</v>
      </c>
      <c r="AR47" s="371">
        <v>10770</v>
      </c>
      <c r="AS47" s="310">
        <v>10770</v>
      </c>
      <c r="AT47" s="310">
        <v>131</v>
      </c>
      <c r="AU47" s="310">
        <v>323</v>
      </c>
      <c r="AV47" s="310">
        <v>323</v>
      </c>
      <c r="AW47" s="310">
        <v>9.7100000000000009</v>
      </c>
      <c r="AX47" s="310">
        <v>9.7100000000000009</v>
      </c>
      <c r="AY47" s="310">
        <v>32.6</v>
      </c>
      <c r="AZ47" s="310">
        <v>32.6</v>
      </c>
      <c r="BA47" s="310">
        <v>1.81</v>
      </c>
      <c r="BB47" s="310">
        <v>0.92800000000000005</v>
      </c>
      <c r="BC47" s="310">
        <v>0.92800000000000005</v>
      </c>
      <c r="BD47" s="310">
        <v>0.68300000000000005</v>
      </c>
      <c r="BE47" s="310">
        <v>0.14000000000000001</v>
      </c>
      <c r="BF47" s="310">
        <v>0.55600000000000005</v>
      </c>
      <c r="BG47" s="310">
        <v>0.19700000000000001</v>
      </c>
      <c r="BH47" s="310">
        <v>0.55600000000000005</v>
      </c>
      <c r="BI47" s="310">
        <v>1.68</v>
      </c>
      <c r="BJ47" s="310">
        <v>0.13300000000000001</v>
      </c>
      <c r="BK47" s="310">
        <v>9.0300000000000005E-2</v>
      </c>
      <c r="BL47" s="310">
        <v>3.95E-2</v>
      </c>
      <c r="BM47" s="310">
        <v>0.50600000000000001</v>
      </c>
      <c r="BN47" s="310">
        <v>0.48</v>
      </c>
      <c r="BO47" s="310">
        <v>0.98199999999999998</v>
      </c>
      <c r="BP47" s="310">
        <v>0.14799999999999999</v>
      </c>
      <c r="BQ47" s="310">
        <v>2.5299999999999998</v>
      </c>
      <c r="BR47" s="310">
        <v>0.111</v>
      </c>
      <c r="BS47" s="307"/>
      <c r="BT47" s="307"/>
      <c r="BU47" s="307"/>
      <c r="BV47" s="307"/>
      <c r="BW47" s="307"/>
    </row>
    <row r="48" spans="1:75" ht="17">
      <c r="AL48" s="309" t="s">
        <v>1352</v>
      </c>
      <c r="AM48" s="310">
        <v>2.3861379302392228E-2</v>
      </c>
      <c r="AN48" s="310">
        <v>0.30245918784109893</v>
      </c>
      <c r="AO48" s="310">
        <v>0.18613304855017235</v>
      </c>
      <c r="AP48" s="310">
        <v>45.56614204239807</v>
      </c>
      <c r="AQ48" s="310">
        <v>0.23339500753001169</v>
      </c>
      <c r="AR48" s="371">
        <v>2.4362615703572614</v>
      </c>
      <c r="AS48" s="310">
        <v>10.713469549684344</v>
      </c>
      <c r="AT48" s="310">
        <v>3.501659377612569E-2</v>
      </c>
      <c r="AU48" s="792">
        <v>0.18937649449813165</v>
      </c>
      <c r="AV48" s="310">
        <v>0.4879319977039831</v>
      </c>
      <c r="AW48" s="792">
        <v>1.3371152581752173E-2</v>
      </c>
      <c r="AX48" s="310">
        <v>2.3654908426254496E-2</v>
      </c>
      <c r="AY48" s="792">
        <v>0.44060604734851661</v>
      </c>
      <c r="AZ48" s="310">
        <v>0.70236450101482839</v>
      </c>
      <c r="BA48" s="310">
        <v>0.10596710124830054</v>
      </c>
      <c r="BB48" s="792">
        <v>6.2847864691258262E-2</v>
      </c>
      <c r="BC48" s="310">
        <v>0.12163293306699276</v>
      </c>
      <c r="BD48" s="310"/>
      <c r="BE48" s="310">
        <v>3.7653124356629561E-3</v>
      </c>
      <c r="BF48" s="310">
        <v>3.7178440527137931E-3</v>
      </c>
      <c r="BG48" s="310">
        <v>2.2382524621219743E-2</v>
      </c>
      <c r="BH48" s="310">
        <v>9.0682785787300454E-4</v>
      </c>
      <c r="BI48" s="310">
        <v>6.0848732344672585E-2</v>
      </c>
      <c r="BJ48" s="310">
        <v>2.8972111514044527E-2</v>
      </c>
      <c r="BK48" s="310">
        <v>1.003442747215166E-2</v>
      </c>
      <c r="BL48" s="310">
        <v>3.4003727239551723E-3</v>
      </c>
      <c r="BM48" s="310"/>
      <c r="BN48" s="310"/>
      <c r="BO48" s="310">
        <v>7.0995710415984988E-3</v>
      </c>
      <c r="BP48" s="310">
        <v>2.2962989219694942E-2</v>
      </c>
      <c r="BQ48" s="310">
        <v>1.3367773130660744E-2</v>
      </c>
      <c r="BR48" s="310">
        <v>8.5346704567529248E-3</v>
      </c>
      <c r="BS48" s="307"/>
      <c r="BT48" s="307"/>
      <c r="BU48" s="307"/>
      <c r="BV48" s="307"/>
      <c r="BW48" s="307"/>
    </row>
    <row r="49" spans="38:75" ht="17">
      <c r="AL49" s="797" t="s">
        <v>1396</v>
      </c>
      <c r="AM49" s="798">
        <v>2.8167299596674238E-2</v>
      </c>
      <c r="AN49" s="798">
        <v>0.31354442279734462</v>
      </c>
      <c r="AO49" s="798">
        <v>0.19336277652944636</v>
      </c>
      <c r="AP49" s="798">
        <v>66.639716681612697</v>
      </c>
      <c r="AQ49" s="798">
        <v>0.27110196471669579</v>
      </c>
      <c r="AR49" s="799">
        <v>4.1728283498579142</v>
      </c>
      <c r="AS49" s="798">
        <v>14.274725162934526</v>
      </c>
      <c r="AT49" s="798">
        <v>5.6388043476662618E-2</v>
      </c>
      <c r="AU49" s="798">
        <v>0.20640344944131758</v>
      </c>
      <c r="AV49" s="798">
        <v>0.55669226184967779</v>
      </c>
      <c r="AW49" s="798">
        <v>1.3141593036356458E-2</v>
      </c>
      <c r="AX49" s="798">
        <v>3.0323144363022532E-2</v>
      </c>
      <c r="AY49" s="798">
        <v>0.52082013242618108</v>
      </c>
      <c r="AZ49" s="798">
        <v>0.84592510271528154</v>
      </c>
      <c r="BA49" s="798">
        <v>0.10434912226508859</v>
      </c>
      <c r="BB49" s="798">
        <v>7.3368325514465288E-2</v>
      </c>
      <c r="BC49" s="798">
        <v>0.14910294051003167</v>
      </c>
      <c r="BD49" s="798"/>
      <c r="BE49" s="798">
        <v>2.6353469734196927E-3</v>
      </c>
      <c r="BF49" s="798">
        <v>4.7146106301310057E-3</v>
      </c>
      <c r="BG49" s="798">
        <v>2.857549823127158E-2</v>
      </c>
      <c r="BH49" s="798">
        <v>2.0868212591179749E-3</v>
      </c>
      <c r="BI49" s="798">
        <v>5.6977251954934256E-2</v>
      </c>
      <c r="BJ49" s="798">
        <v>3.2186564028460034E-2</v>
      </c>
      <c r="BK49" s="798">
        <v>1.0551142533932346E-2</v>
      </c>
      <c r="BL49" s="798">
        <v>3.3653423151515311E-3</v>
      </c>
      <c r="BM49" s="798"/>
      <c r="BN49" s="798"/>
      <c r="BO49" s="798">
        <v>5.1604252880737278E-3</v>
      </c>
      <c r="BP49" s="798">
        <v>2.3762889796123683E-2</v>
      </c>
      <c r="BQ49" s="798">
        <v>2.1958607155387597E-2</v>
      </c>
      <c r="BR49" s="798">
        <v>1.4612561593390276E-2</v>
      </c>
      <c r="BS49" s="307"/>
      <c r="BT49" s="307"/>
      <c r="BU49" s="307"/>
      <c r="BV49" s="307"/>
      <c r="BW49" s="307"/>
    </row>
    <row r="50" spans="38:75" ht="17">
      <c r="AL50" s="396" t="s">
        <v>912</v>
      </c>
      <c r="AM50" s="491" t="s">
        <v>141</v>
      </c>
      <c r="AN50" s="401">
        <v>44.756369841972266</v>
      </c>
      <c r="AO50" s="403" t="s">
        <v>911</v>
      </c>
      <c r="AP50" s="400"/>
      <c r="AQ50" s="401">
        <v>4284.0360703879305</v>
      </c>
      <c r="AR50" s="408">
        <v>55500</v>
      </c>
      <c r="AS50" s="401">
        <v>77228.342512143121</v>
      </c>
      <c r="AT50" s="401">
        <v>158.92895290299757</v>
      </c>
      <c r="AU50" s="403" t="s">
        <v>910</v>
      </c>
      <c r="AV50" s="403" t="s">
        <v>909</v>
      </c>
      <c r="AW50" s="401">
        <v>59.466715977747512</v>
      </c>
      <c r="AX50" s="401">
        <v>66.0519435641462</v>
      </c>
      <c r="AY50" s="401">
        <v>242.15453712755567</v>
      </c>
      <c r="AZ50" s="401">
        <v>192.24079803624144</v>
      </c>
      <c r="BA50" s="402">
        <v>5.7045252051734527</v>
      </c>
      <c r="BB50" s="402">
        <v>6.2586610458542777</v>
      </c>
      <c r="BC50" s="400">
        <v>7.7724631210187907</v>
      </c>
      <c r="BD50" s="400"/>
      <c r="BE50" s="402">
        <v>2.6724611555799997</v>
      </c>
      <c r="BF50" s="400">
        <v>0.33483109040412001</v>
      </c>
      <c r="BG50" s="403" t="s">
        <v>632</v>
      </c>
      <c r="BH50" s="400">
        <v>0.35064619827898069</v>
      </c>
      <c r="BI50" s="403" t="s">
        <v>748</v>
      </c>
      <c r="BJ50" s="403" t="s">
        <v>630</v>
      </c>
      <c r="BK50" s="402">
        <v>3.2777562692751503</v>
      </c>
      <c r="BL50" s="402">
        <v>1.0230682384128378</v>
      </c>
      <c r="BM50" s="400"/>
      <c r="BN50" s="400"/>
      <c r="BO50" s="401">
        <v>29.267382908381194</v>
      </c>
      <c r="BP50" s="400">
        <v>0.45908158987859876</v>
      </c>
      <c r="BQ50" s="403" t="s">
        <v>181</v>
      </c>
      <c r="BR50" s="403" t="s">
        <v>74</v>
      </c>
      <c r="BS50" s="398"/>
      <c r="BT50" s="394">
        <v>43.451002120971694</v>
      </c>
      <c r="BU50" s="399">
        <v>0.49452374390593268</v>
      </c>
      <c r="BV50" s="398"/>
      <c r="BW50" s="398" t="s">
        <v>752</v>
      </c>
    </row>
    <row r="51" spans="38:75" ht="18" thickBot="1">
      <c r="AL51" s="396" t="s">
        <v>908</v>
      </c>
      <c r="AM51" s="491" t="s">
        <v>194</v>
      </c>
      <c r="AN51" s="401">
        <v>48.243087312614833</v>
      </c>
      <c r="AO51" s="403" t="s">
        <v>907</v>
      </c>
      <c r="AP51" s="400"/>
      <c r="AQ51" s="401">
        <v>4372.906577539009</v>
      </c>
      <c r="AR51" s="408">
        <v>55500</v>
      </c>
      <c r="AS51" s="401">
        <v>76883.949785177698</v>
      </c>
      <c r="AT51" s="401">
        <v>163.30214571012513</v>
      </c>
      <c r="AU51" s="403" t="s">
        <v>906</v>
      </c>
      <c r="AV51" s="403" t="s">
        <v>905</v>
      </c>
      <c r="AW51" s="401">
        <v>62.442686950299176</v>
      </c>
      <c r="AX51" s="401">
        <v>65.615313791997892</v>
      </c>
      <c r="AY51" s="401">
        <v>247.16082877358076</v>
      </c>
      <c r="AZ51" s="401">
        <v>204.51737872612881</v>
      </c>
      <c r="BA51" s="402">
        <v>5.3820410313676277</v>
      </c>
      <c r="BB51" s="402">
        <v>6.3792035965779936</v>
      </c>
      <c r="BC51" s="400">
        <v>9.0296663686128458</v>
      </c>
      <c r="BD51" s="400"/>
      <c r="BE51" s="402">
        <v>2.7868011734215861</v>
      </c>
      <c r="BF51" s="400">
        <v>0.52010461374555705</v>
      </c>
      <c r="BG51" s="403" t="s">
        <v>118</v>
      </c>
      <c r="BH51" s="400">
        <v>0.23211748293093409</v>
      </c>
      <c r="BI51" s="403" t="s">
        <v>140</v>
      </c>
      <c r="BJ51" s="403" t="s">
        <v>65</v>
      </c>
      <c r="BK51" s="402">
        <v>3.1983422381911253</v>
      </c>
      <c r="BL51" s="402">
        <v>1.0623560348994536</v>
      </c>
      <c r="BM51" s="400"/>
      <c r="BN51" s="400"/>
      <c r="BO51" s="401">
        <v>29.660616011035373</v>
      </c>
      <c r="BP51" s="403" t="s">
        <v>116</v>
      </c>
      <c r="BQ51" s="400">
        <v>0.17729607996923527</v>
      </c>
      <c r="BR51" s="403" t="s">
        <v>128</v>
      </c>
      <c r="BS51" s="398"/>
      <c r="BT51" s="394">
        <v>44.809001922607393</v>
      </c>
      <c r="BU51" s="399">
        <v>0.49904352646972922</v>
      </c>
      <c r="BV51" s="398"/>
      <c r="BW51" s="398" t="s">
        <v>747</v>
      </c>
    </row>
    <row r="52" spans="38:75" ht="17">
      <c r="AL52" s="432" t="s">
        <v>43</v>
      </c>
      <c r="AM52" s="427">
        <v>458.97258614160859</v>
      </c>
      <c r="AN52" s="427">
        <v>406.17040482924835</v>
      </c>
      <c r="AO52" s="427">
        <v>441.7998393984567</v>
      </c>
      <c r="AP52" s="425"/>
      <c r="AQ52" s="427">
        <v>410.77399705285831</v>
      </c>
      <c r="AR52" s="431">
        <v>459</v>
      </c>
      <c r="AS52" s="430" t="s">
        <v>904</v>
      </c>
      <c r="AT52" s="427">
        <v>445.295998142906</v>
      </c>
      <c r="AU52" s="427">
        <v>466.89430982613703</v>
      </c>
      <c r="AV52" s="427">
        <v>468.78709165531501</v>
      </c>
      <c r="AW52" s="427">
        <v>438.78624247991689</v>
      </c>
      <c r="AX52" s="427">
        <v>434.33466504454373</v>
      </c>
      <c r="AY52" s="427">
        <v>446.4913275059659</v>
      </c>
      <c r="AZ52" s="427">
        <v>447.25225485046184</v>
      </c>
      <c r="BA52" s="427">
        <v>327.36265358401795</v>
      </c>
      <c r="BB52" s="427">
        <v>422.04249313337601</v>
      </c>
      <c r="BC52" s="427">
        <v>423.56326377922278</v>
      </c>
      <c r="BD52" s="427"/>
      <c r="BE52" s="428">
        <v>1.2821049700865479</v>
      </c>
      <c r="BF52" s="428">
        <v>1.0402725845920004</v>
      </c>
      <c r="BG52" s="427">
        <v>255.18377568912851</v>
      </c>
      <c r="BH52" s="428">
        <v>1.1036824070048303</v>
      </c>
      <c r="BI52" s="427">
        <v>423.66814751265542</v>
      </c>
      <c r="BJ52" s="427">
        <v>391.51791339457651</v>
      </c>
      <c r="BK52" s="427">
        <v>449.07261416640819</v>
      </c>
      <c r="BL52" s="427">
        <v>50.103231998718968</v>
      </c>
      <c r="BM52" s="425"/>
      <c r="BN52" s="425"/>
      <c r="BO52" s="425">
        <v>3.0691819699773868</v>
      </c>
      <c r="BP52" s="427">
        <v>21.693184989848557</v>
      </c>
      <c r="BQ52" s="427">
        <v>421.80976870124442</v>
      </c>
      <c r="BR52" s="427">
        <v>359.51505806178477</v>
      </c>
      <c r="BS52" s="422"/>
      <c r="BT52" s="424">
        <v>44.809001922607393</v>
      </c>
      <c r="BU52" s="423">
        <v>1.0843384861561127</v>
      </c>
      <c r="BV52" s="422"/>
      <c r="BW52" s="421" t="s">
        <v>746</v>
      </c>
    </row>
    <row r="53" spans="38:75" ht="18" thickBot="1">
      <c r="AL53" s="420" t="s">
        <v>45</v>
      </c>
      <c r="AM53" s="414">
        <v>441.60051576452184</v>
      </c>
      <c r="AN53" s="414">
        <v>410.36911422892797</v>
      </c>
      <c r="AO53" s="414">
        <v>446.79145290674069</v>
      </c>
      <c r="AP53" s="413"/>
      <c r="AQ53" s="414">
        <v>409.76036016025819</v>
      </c>
      <c r="AR53" s="419">
        <v>459</v>
      </c>
      <c r="AS53" s="418" t="s">
        <v>903</v>
      </c>
      <c r="AT53" s="414">
        <v>437.26770796661862</v>
      </c>
      <c r="AU53" s="414">
        <v>453.69703869648237</v>
      </c>
      <c r="AV53" s="414">
        <v>451.8037190799418</v>
      </c>
      <c r="AW53" s="414">
        <v>427.76863632633524</v>
      </c>
      <c r="AX53" s="414">
        <v>432.2286318678515</v>
      </c>
      <c r="AY53" s="414">
        <v>448.09511405112488</v>
      </c>
      <c r="AZ53" s="414">
        <v>447.332570568812</v>
      </c>
      <c r="BA53" s="414">
        <v>323.06694083383684</v>
      </c>
      <c r="BB53" s="414">
        <v>412.49125078927989</v>
      </c>
      <c r="BC53" s="414">
        <v>410.97355001061652</v>
      </c>
      <c r="BD53" s="414"/>
      <c r="BE53" s="415">
        <v>1.2996170880261257</v>
      </c>
      <c r="BF53" s="415">
        <v>1.0612189670394132</v>
      </c>
      <c r="BG53" s="414">
        <v>247.14133686398023</v>
      </c>
      <c r="BH53" s="415">
        <v>0.99741418998020892</v>
      </c>
      <c r="BI53" s="414">
        <v>436.8852806151101</v>
      </c>
      <c r="BJ53" s="414">
        <v>400.98660775200165</v>
      </c>
      <c r="BK53" s="414">
        <v>439.52309011843141</v>
      </c>
      <c r="BL53" s="414">
        <v>47.965398927090632</v>
      </c>
      <c r="BM53" s="413"/>
      <c r="BN53" s="413"/>
      <c r="BO53" s="413">
        <v>3.2345244506209339</v>
      </c>
      <c r="BP53" s="414">
        <v>22.532698131599457</v>
      </c>
      <c r="BQ53" s="414">
        <v>430.73048494134929</v>
      </c>
      <c r="BR53" s="414">
        <v>356.35839080695126</v>
      </c>
      <c r="BS53" s="410"/>
      <c r="BT53" s="412">
        <v>44.809001922607393</v>
      </c>
      <c r="BU53" s="411">
        <v>1.1133796120211936</v>
      </c>
      <c r="BV53" s="410"/>
      <c r="BW53" s="409" t="s">
        <v>745</v>
      </c>
    </row>
    <row r="54" spans="38:75" ht="17">
      <c r="AL54" s="1065" t="s">
        <v>902</v>
      </c>
      <c r="AM54" s="1066" t="s">
        <v>55</v>
      </c>
      <c r="AN54" s="1066" t="s">
        <v>901</v>
      </c>
      <c r="AO54" s="1066" t="s">
        <v>900</v>
      </c>
      <c r="AP54" s="1067"/>
      <c r="AQ54" s="1068">
        <v>1125.6685388777485</v>
      </c>
      <c r="AR54" s="1069">
        <v>441400</v>
      </c>
      <c r="AS54" s="1070">
        <v>666413.65283808007</v>
      </c>
      <c r="AT54" s="1068">
        <v>321.44292134594258</v>
      </c>
      <c r="AU54" s="1068">
        <v>114.21486483905761</v>
      </c>
      <c r="AV54" s="1068">
        <v>97.566713799863066</v>
      </c>
      <c r="AW54" s="1068">
        <v>133.15039322817813</v>
      </c>
      <c r="AX54" s="1068">
        <v>148.73375723535537</v>
      </c>
      <c r="AY54" s="1068">
        <v>491.23626510016101</v>
      </c>
      <c r="AZ54" s="1068">
        <v>453.17230344360343</v>
      </c>
      <c r="BA54" s="1068">
        <v>397.37410050813304</v>
      </c>
      <c r="BB54" s="1068">
        <v>296.60656866624123</v>
      </c>
      <c r="BC54" s="1068">
        <v>288.59074377731764</v>
      </c>
      <c r="BD54" s="1067"/>
      <c r="BE54" s="1068">
        <v>371.93589854537072</v>
      </c>
      <c r="BF54" s="1068">
        <v>46.608222807530488</v>
      </c>
      <c r="BG54" s="1067">
        <v>0.70544956271568027</v>
      </c>
      <c r="BH54" s="1068">
        <v>33.762056246321713</v>
      </c>
      <c r="BI54" s="1068">
        <v>319.2950767266878</v>
      </c>
      <c r="BJ54" s="1068">
        <v>303.94371478218443</v>
      </c>
      <c r="BK54" s="1068">
        <v>171.75217873089156</v>
      </c>
      <c r="BL54" s="1068">
        <v>232.03678112903995</v>
      </c>
      <c r="BM54" s="1067"/>
      <c r="BN54" s="1067"/>
      <c r="BO54" s="1068">
        <v>276.83127587118059</v>
      </c>
      <c r="BP54" s="1068">
        <v>293.54710510494749</v>
      </c>
      <c r="BQ54" s="1066" t="s">
        <v>139</v>
      </c>
      <c r="BR54" s="1067">
        <v>0.12181287368416349</v>
      </c>
      <c r="BS54" s="1071"/>
      <c r="BT54" s="1072">
        <v>42.093000411987298</v>
      </c>
      <c r="BU54" s="1073">
        <v>0.3862997698781292</v>
      </c>
      <c r="BV54" s="1071"/>
      <c r="BW54" s="1074" t="s">
        <v>899</v>
      </c>
    </row>
    <row r="55" spans="38:75" ht="17">
      <c r="AL55" s="1075" t="s">
        <v>898</v>
      </c>
      <c r="AM55" s="1076" t="s">
        <v>897</v>
      </c>
      <c r="AN55" s="1077" t="s">
        <v>896</v>
      </c>
      <c r="AO55" s="1077" t="s">
        <v>198</v>
      </c>
      <c r="AP55" s="1070"/>
      <c r="AQ55" s="1070">
        <v>1065.962156667596</v>
      </c>
      <c r="AR55" s="1078">
        <v>441400</v>
      </c>
      <c r="AS55" s="1070">
        <v>689946.24197018007</v>
      </c>
      <c r="AT55" s="1070">
        <v>326.90967053228519</v>
      </c>
      <c r="AU55" s="1070">
        <v>102.55191259328595</v>
      </c>
      <c r="AV55" s="1070">
        <v>85.131428457642713</v>
      </c>
      <c r="AW55" s="1070">
        <v>132.22888931178491</v>
      </c>
      <c r="AX55" s="1070">
        <v>150.71422720348326</v>
      </c>
      <c r="AY55" s="1070">
        <v>350.78300491188389</v>
      </c>
      <c r="AZ55" s="1070">
        <v>317.82778217037702</v>
      </c>
      <c r="BA55" s="1070">
        <v>423.34941973231986</v>
      </c>
      <c r="BB55" s="1070">
        <v>289.43387153578624</v>
      </c>
      <c r="BC55" s="1070">
        <v>284.67815203635922</v>
      </c>
      <c r="BD55" s="1079"/>
      <c r="BE55" s="1070">
        <v>321.2463506510087</v>
      </c>
      <c r="BF55" s="1070">
        <v>43.923966029271845</v>
      </c>
      <c r="BG55" s="1079">
        <v>0.9569649761084863</v>
      </c>
      <c r="BH55" s="1070">
        <v>35.211065969452633</v>
      </c>
      <c r="BI55" s="1070">
        <v>325.05425573610506</v>
      </c>
      <c r="BJ55" s="1070">
        <v>297.36374081857832</v>
      </c>
      <c r="BK55" s="1070">
        <v>152.86833285936862</v>
      </c>
      <c r="BL55" s="1070">
        <v>28.717357476118039</v>
      </c>
      <c r="BM55" s="1079"/>
      <c r="BN55" s="1079"/>
      <c r="BO55" s="1070">
        <v>188.81651920888962</v>
      </c>
      <c r="BP55" s="1070">
        <v>301.56160612189285</v>
      </c>
      <c r="BQ55" s="1079">
        <v>0.144451172503168</v>
      </c>
      <c r="BR55" s="1079">
        <v>7.6240736959377622E-2</v>
      </c>
      <c r="BS55" s="1080"/>
      <c r="BT55" s="1081">
        <v>43.451002120971694</v>
      </c>
      <c r="BU55" s="1082">
        <v>0.41445284704516461</v>
      </c>
      <c r="BV55" s="1080"/>
      <c r="BW55" s="1083" t="s">
        <v>895</v>
      </c>
    </row>
    <row r="56" spans="38:75" ht="17">
      <c r="AL56" s="1075" t="s">
        <v>894</v>
      </c>
      <c r="AM56" s="1076" t="s">
        <v>286</v>
      </c>
      <c r="AN56" s="1077" t="s">
        <v>893</v>
      </c>
      <c r="AO56" s="1077" t="s">
        <v>892</v>
      </c>
      <c r="AP56" s="1070"/>
      <c r="AQ56" s="1070">
        <v>1030.3961478359822</v>
      </c>
      <c r="AR56" s="1078">
        <v>441400</v>
      </c>
      <c r="AS56" s="1070">
        <v>694874.42398237018</v>
      </c>
      <c r="AT56" s="1070">
        <v>308.48182798467161</v>
      </c>
      <c r="AU56" s="1070">
        <v>113.69936960351914</v>
      </c>
      <c r="AV56" s="1070">
        <v>77.198439209028692</v>
      </c>
      <c r="AW56" s="1070">
        <v>136.12052425246074</v>
      </c>
      <c r="AX56" s="1070">
        <v>155.14951327454898</v>
      </c>
      <c r="AY56" s="1070">
        <v>339.83316196642045</v>
      </c>
      <c r="AZ56" s="1070">
        <v>315.13791842076915</v>
      </c>
      <c r="BA56" s="1070">
        <v>373.19499430373889</v>
      </c>
      <c r="BB56" s="1070">
        <v>286.09707942680268</v>
      </c>
      <c r="BC56" s="1070">
        <v>290.5659676319803</v>
      </c>
      <c r="BD56" s="1079"/>
      <c r="BE56" s="1070">
        <v>319.81007246392022</v>
      </c>
      <c r="BF56" s="1070">
        <v>44.41980722081761</v>
      </c>
      <c r="BG56" s="1079">
        <v>0.79141731111236246</v>
      </c>
      <c r="BH56" s="1070">
        <v>33.113114687372075</v>
      </c>
      <c r="BI56" s="1070">
        <v>331.4999964235015</v>
      </c>
      <c r="BJ56" s="1070">
        <v>302.9699832618827</v>
      </c>
      <c r="BK56" s="1070">
        <v>181.63773469487913</v>
      </c>
      <c r="BL56" s="1070">
        <v>57.907993333380524</v>
      </c>
      <c r="BM56" s="1079"/>
      <c r="BN56" s="1079"/>
      <c r="BO56" s="1070">
        <v>258.62852794771044</v>
      </c>
      <c r="BP56" s="1070">
        <v>282.60558619781193</v>
      </c>
      <c r="BQ56" s="1084" t="s">
        <v>120</v>
      </c>
      <c r="BR56" s="1084" t="s">
        <v>41</v>
      </c>
      <c r="BS56" s="1080"/>
      <c r="BT56" s="1081">
        <v>42.772001266479492</v>
      </c>
      <c r="BU56" s="1082">
        <v>0.32678788252416091</v>
      </c>
      <c r="BV56" s="1080"/>
      <c r="BW56" s="1083" t="s">
        <v>891</v>
      </c>
    </row>
    <row r="57" spans="38:75" ht="17">
      <c r="AL57" s="1075" t="s">
        <v>890</v>
      </c>
      <c r="AM57" s="1076" t="s">
        <v>308</v>
      </c>
      <c r="AN57" s="1077" t="s">
        <v>186</v>
      </c>
      <c r="AO57" s="1077" t="s">
        <v>889</v>
      </c>
      <c r="AP57" s="1070"/>
      <c r="AQ57" s="1070">
        <v>1142.2456832783059</v>
      </c>
      <c r="AR57" s="1078">
        <v>441400</v>
      </c>
      <c r="AS57" s="1070">
        <v>710958.59215113905</v>
      </c>
      <c r="AT57" s="1070">
        <v>313.83864536779294</v>
      </c>
      <c r="AU57" s="1070">
        <v>100.67418849655876</v>
      </c>
      <c r="AV57" s="1070">
        <v>100.57506601999745</v>
      </c>
      <c r="AW57" s="1070">
        <v>141.78400444028014</v>
      </c>
      <c r="AX57" s="1070">
        <v>159.6411105150724</v>
      </c>
      <c r="AY57" s="1070">
        <v>468.70542881151329</v>
      </c>
      <c r="AZ57" s="1070">
        <v>414.3764357476914</v>
      </c>
      <c r="BA57" s="1070">
        <v>404.2081700485175</v>
      </c>
      <c r="BB57" s="1070">
        <v>290.65079062984921</v>
      </c>
      <c r="BC57" s="1070">
        <v>309.05817732587332</v>
      </c>
      <c r="BD57" s="1079"/>
      <c r="BE57" s="1070">
        <v>356.10926944554251</v>
      </c>
      <c r="BF57" s="1070">
        <v>45.106425898136607</v>
      </c>
      <c r="BG57" s="1079">
        <v>0.64566265528829625</v>
      </c>
      <c r="BH57" s="1070">
        <v>34.876517469765474</v>
      </c>
      <c r="BI57" s="1070">
        <v>322.82721154463189</v>
      </c>
      <c r="BJ57" s="1070">
        <v>301.67294929157765</v>
      </c>
      <c r="BK57" s="1070">
        <v>166.87009134124958</v>
      </c>
      <c r="BL57" s="1070">
        <v>94.932604226475959</v>
      </c>
      <c r="BM57" s="1079"/>
      <c r="BN57" s="1079"/>
      <c r="BO57" s="1070">
        <v>248.50594972441027</v>
      </c>
      <c r="BP57" s="1070">
        <v>289.5449582224428</v>
      </c>
      <c r="BQ57" s="1084" t="s">
        <v>194</v>
      </c>
      <c r="BR57" s="1084" t="s">
        <v>49</v>
      </c>
      <c r="BS57" s="1080"/>
      <c r="BT57" s="1081">
        <v>43.451002120971694</v>
      </c>
      <c r="BU57" s="1082">
        <v>0.36782946394346228</v>
      </c>
      <c r="BV57" s="1080"/>
      <c r="BW57" s="1083" t="s">
        <v>888</v>
      </c>
    </row>
    <row r="58" spans="38:75" ht="17">
      <c r="AL58" s="1085" t="s">
        <v>887</v>
      </c>
      <c r="AM58" s="1086" t="s">
        <v>130</v>
      </c>
      <c r="AN58" s="1086" t="s">
        <v>886</v>
      </c>
      <c r="AO58" s="1086" t="s">
        <v>885</v>
      </c>
      <c r="AP58" s="1087"/>
      <c r="AQ58" s="1087">
        <v>1109.9899382838194</v>
      </c>
      <c r="AR58" s="1088">
        <v>441400</v>
      </c>
      <c r="AS58" s="1087">
        <v>716534.66063457634</v>
      </c>
      <c r="AT58" s="1087">
        <v>301.56359386762335</v>
      </c>
      <c r="AU58" s="1087">
        <v>105.81386415438007</v>
      </c>
      <c r="AV58" s="1087">
        <v>93.425068271523401</v>
      </c>
      <c r="AW58" s="1087">
        <v>131.74111149130113</v>
      </c>
      <c r="AX58" s="1087">
        <v>148.90006123855167</v>
      </c>
      <c r="AY58" s="1087">
        <v>408.90214992681996</v>
      </c>
      <c r="AZ58" s="1087">
        <v>379.97954037907408</v>
      </c>
      <c r="BA58" s="1087">
        <v>394.91181274297247</v>
      </c>
      <c r="BB58" s="1087">
        <v>283.71756461511495</v>
      </c>
      <c r="BC58" s="1087">
        <v>282.0363576182931</v>
      </c>
      <c r="BD58" s="1089"/>
      <c r="BE58" s="1087">
        <v>338.32683021304445</v>
      </c>
      <c r="BF58" s="1087">
        <v>46.090349427197253</v>
      </c>
      <c r="BG58" s="1089">
        <v>0.81187860910278031</v>
      </c>
      <c r="BH58" s="1087">
        <v>33.830813245530166</v>
      </c>
      <c r="BI58" s="1087">
        <v>315.46080245595226</v>
      </c>
      <c r="BJ58" s="1087">
        <v>313.0927569960491</v>
      </c>
      <c r="BK58" s="1087">
        <v>146.81177910620394</v>
      </c>
      <c r="BL58" s="1087">
        <v>36.212635619891984</v>
      </c>
      <c r="BM58" s="1089"/>
      <c r="BN58" s="1089"/>
      <c r="BO58" s="1087">
        <v>147.09868012591707</v>
      </c>
      <c r="BP58" s="1087">
        <v>277.11115836701441</v>
      </c>
      <c r="BQ58" s="1090" t="s">
        <v>185</v>
      </c>
      <c r="BR58" s="1090" t="s">
        <v>57</v>
      </c>
      <c r="BS58" s="1091"/>
      <c r="BT58" s="1092">
        <v>44.8090019226075</v>
      </c>
      <c r="BU58" s="1093">
        <v>0.37526004626029696</v>
      </c>
      <c r="BV58" s="1091"/>
      <c r="BW58" s="1094" t="s">
        <v>884</v>
      </c>
    </row>
    <row r="59" spans="38:75" ht="17">
      <c r="AL59" s="1095" t="s">
        <v>883</v>
      </c>
      <c r="AM59" s="1096">
        <v>26.497291388356114</v>
      </c>
      <c r="AN59" s="1096">
        <v>81.46059868145754</v>
      </c>
      <c r="AO59" s="1096">
        <v>795.66585376870739</v>
      </c>
      <c r="AP59" s="1096"/>
      <c r="AQ59" s="1096">
        <v>111.01170359285102</v>
      </c>
      <c r="AR59" s="1097">
        <v>17900</v>
      </c>
      <c r="AS59" s="1096">
        <v>29747.114957659396</v>
      </c>
      <c r="AT59" s="1096">
        <v>217.63556815361429</v>
      </c>
      <c r="AU59" s="1096">
        <v>311.52833827510148</v>
      </c>
      <c r="AV59" s="1096">
        <v>265.93846198539921</v>
      </c>
      <c r="AW59" s="1098">
        <v>6.3926071125723576</v>
      </c>
      <c r="AX59" s="1098">
        <v>7.0678385326701685</v>
      </c>
      <c r="AY59" s="1096">
        <v>16.758139582218586</v>
      </c>
      <c r="AZ59" s="1099" t="s">
        <v>882</v>
      </c>
      <c r="BA59" s="1100" t="s">
        <v>55</v>
      </c>
      <c r="BB59" s="1096">
        <v>317.99859058418787</v>
      </c>
      <c r="BC59" s="1096">
        <v>321.40974115212964</v>
      </c>
      <c r="BD59" s="1101"/>
      <c r="BE59" s="1101">
        <v>6.5690267533482768E-2</v>
      </c>
      <c r="BF59" s="1101">
        <v>3.7343464403838893E-2</v>
      </c>
      <c r="BG59" s="1098">
        <v>2.669119413852834</v>
      </c>
      <c r="BH59" s="1101">
        <v>2.9576999806804654E-2</v>
      </c>
      <c r="BI59" s="1101">
        <v>0.33444340107819209</v>
      </c>
      <c r="BJ59" s="1101">
        <v>0.31381607952989982</v>
      </c>
      <c r="BK59" s="1098">
        <v>4.3116343531721837</v>
      </c>
      <c r="BL59" s="1099" t="s">
        <v>239</v>
      </c>
      <c r="BM59" s="1101"/>
      <c r="BN59" s="1101"/>
      <c r="BO59" s="1099" t="s">
        <v>58</v>
      </c>
      <c r="BP59" s="1101">
        <v>0.31357226663346244</v>
      </c>
      <c r="BQ59" s="1101">
        <v>0.60215638632413648</v>
      </c>
      <c r="BR59" s="1101">
        <v>0.82258416837057302</v>
      </c>
      <c r="BS59" s="1102"/>
      <c r="BT59" s="1103">
        <v>40.057003021240298</v>
      </c>
      <c r="BU59" s="1104">
        <v>2.2884053455583624</v>
      </c>
      <c r="BV59" s="1102"/>
      <c r="BW59" s="1105" t="s">
        <v>876</v>
      </c>
    </row>
    <row r="60" spans="38:75" ht="17">
      <c r="AL60" s="1106" t="s">
        <v>881</v>
      </c>
      <c r="AM60" s="1107">
        <v>2.3264624306599733</v>
      </c>
      <c r="AN60" s="1108">
        <v>11.539479278511099</v>
      </c>
      <c r="AO60" s="1108">
        <v>752.81398573237789</v>
      </c>
      <c r="AP60" s="1109"/>
      <c r="AQ60" s="1108">
        <v>115.20241560669515</v>
      </c>
      <c r="AR60" s="1110">
        <v>17900</v>
      </c>
      <c r="AS60" s="1108">
        <v>30162.768387114877</v>
      </c>
      <c r="AT60" s="1108">
        <v>220.23569190341453</v>
      </c>
      <c r="AU60" s="1108">
        <v>295.88746944805922</v>
      </c>
      <c r="AV60" s="1108">
        <v>259.835215700047</v>
      </c>
      <c r="AW60" s="1109">
        <v>6.0779374172084705E-2</v>
      </c>
      <c r="AX60" s="1109">
        <v>0.13350636044588421</v>
      </c>
      <c r="AY60" s="1108">
        <v>17.105794024977804</v>
      </c>
      <c r="AZ60" s="1111" t="s">
        <v>880</v>
      </c>
      <c r="BA60" s="1112" t="s">
        <v>194</v>
      </c>
      <c r="BB60" s="1108">
        <v>323.45393858612891</v>
      </c>
      <c r="BC60" s="1108">
        <v>325.4425539904932</v>
      </c>
      <c r="BD60" s="1109"/>
      <c r="BE60" s="1109">
        <v>9.4270634326534486E-2</v>
      </c>
      <c r="BF60" s="1109">
        <v>2.8447561084872428E-2</v>
      </c>
      <c r="BG60" s="1107">
        <v>2.7035903448409702</v>
      </c>
      <c r="BH60" s="1109">
        <v>1.8731116794865003E-2</v>
      </c>
      <c r="BI60" s="1111" t="s">
        <v>74</v>
      </c>
      <c r="BJ60" s="1111" t="s">
        <v>265</v>
      </c>
      <c r="BK60" s="1109">
        <v>0.5628162083156999</v>
      </c>
      <c r="BL60" s="1111" t="s">
        <v>239</v>
      </c>
      <c r="BM60" s="1109"/>
      <c r="BN60" s="1109"/>
      <c r="BO60" s="1109">
        <v>1.7075586432558278E-3</v>
      </c>
      <c r="BP60" s="1109">
        <v>0.27178714697861833</v>
      </c>
      <c r="BQ60" s="1109">
        <v>0.14190949001061784</v>
      </c>
      <c r="BR60" s="1109">
        <v>0.25289656740494182</v>
      </c>
      <c r="BS60" s="1113"/>
      <c r="BT60" s="1114">
        <v>42.772001266479492</v>
      </c>
      <c r="BU60" s="1115">
        <v>2.4316805524469185</v>
      </c>
      <c r="BV60" s="1113"/>
      <c r="BW60" s="1116" t="s">
        <v>879</v>
      </c>
    </row>
    <row r="61" spans="38:75" ht="17">
      <c r="AL61" s="1106" t="s">
        <v>878</v>
      </c>
      <c r="AM61" s="1108">
        <v>30.080179477275429</v>
      </c>
      <c r="AN61" s="1108">
        <v>87.053244067850372</v>
      </c>
      <c r="AO61" s="1108">
        <v>804.07319609222941</v>
      </c>
      <c r="AP61" s="1109"/>
      <c r="AQ61" s="1108">
        <v>112.88654479601975</v>
      </c>
      <c r="AR61" s="1110">
        <v>17900</v>
      </c>
      <c r="AS61" s="1108">
        <v>30385.234083258092</v>
      </c>
      <c r="AT61" s="1108">
        <v>214.68786071430873</v>
      </c>
      <c r="AU61" s="1108">
        <v>314.35158984055101</v>
      </c>
      <c r="AV61" s="1108">
        <v>265.48449220188007</v>
      </c>
      <c r="AW61" s="1107">
        <v>8.4219200661567726</v>
      </c>
      <c r="AX61" s="1108">
        <v>9.9599874427917943</v>
      </c>
      <c r="AY61" s="1108">
        <v>16.92176415557191</v>
      </c>
      <c r="AZ61" s="1111" t="s">
        <v>877</v>
      </c>
      <c r="BA61" s="1112" t="s">
        <v>160</v>
      </c>
      <c r="BB61" s="1108">
        <v>315.33482572269588</v>
      </c>
      <c r="BC61" s="1108">
        <v>311.55856537832318</v>
      </c>
      <c r="BD61" s="1109"/>
      <c r="BE61" s="1109">
        <v>7.7196383675725913E-2</v>
      </c>
      <c r="BF61" s="1109">
        <v>2.5085946569276121E-2</v>
      </c>
      <c r="BG61" s="1107">
        <v>2.9644375750908631</v>
      </c>
      <c r="BH61" s="1109">
        <v>2.5891888651631053E-2</v>
      </c>
      <c r="BI61" s="1109">
        <v>0.24614214226989242</v>
      </c>
      <c r="BJ61" s="1109">
        <v>0.23270862081992258</v>
      </c>
      <c r="BK61" s="1107">
        <v>2.8860990474206436</v>
      </c>
      <c r="BL61" s="1108"/>
      <c r="BM61" s="1109"/>
      <c r="BN61" s="1109"/>
      <c r="BO61" s="1109">
        <v>0</v>
      </c>
      <c r="BP61" s="1109">
        <v>0.25853750558397182</v>
      </c>
      <c r="BQ61" s="1109">
        <v>0.45130284454911418</v>
      </c>
      <c r="BR61" s="1109">
        <v>0.62831270918715187</v>
      </c>
      <c r="BS61" s="1113"/>
      <c r="BT61" s="1114">
        <v>31.230998992919897</v>
      </c>
      <c r="BU61" s="1115">
        <v>2.4903869558787366</v>
      </c>
      <c r="BV61" s="1113"/>
      <c r="BW61" s="1116" t="s">
        <v>876</v>
      </c>
    </row>
    <row r="62" spans="38:75" ht="18" thickBot="1">
      <c r="AL62" s="1117" t="s">
        <v>875</v>
      </c>
      <c r="AM62" s="1118">
        <v>2.6323042732725588</v>
      </c>
      <c r="AN62" s="1119">
        <v>10.284651771090294</v>
      </c>
      <c r="AO62" s="1119">
        <v>741.95668167860606</v>
      </c>
      <c r="AP62" s="1120"/>
      <c r="AQ62" s="1119">
        <v>116.02188372115688</v>
      </c>
      <c r="AR62" s="1121">
        <v>17900</v>
      </c>
      <c r="AS62" s="1119">
        <v>30635.25208941022</v>
      </c>
      <c r="AT62" s="1119">
        <v>224.06695982592936</v>
      </c>
      <c r="AU62" s="1119">
        <v>287.54631952425439</v>
      </c>
      <c r="AV62" s="1119">
        <v>236.52473714352814</v>
      </c>
      <c r="AW62" s="1122" t="s">
        <v>58</v>
      </c>
      <c r="AX62" s="1120">
        <v>7.9080838390180097E-2</v>
      </c>
      <c r="AY62" s="1119">
        <v>15.275225510565649</v>
      </c>
      <c r="AZ62" s="1122" t="s">
        <v>874</v>
      </c>
      <c r="BA62" s="1122" t="s">
        <v>134</v>
      </c>
      <c r="BB62" s="1119">
        <v>311.60733781204505</v>
      </c>
      <c r="BC62" s="1119">
        <v>315.78616546419499</v>
      </c>
      <c r="BD62" s="1120"/>
      <c r="BE62" s="1120">
        <v>7.1267462605656737E-2</v>
      </c>
      <c r="BF62" s="1120">
        <v>4.580954694140732E-2</v>
      </c>
      <c r="BG62" s="1118">
        <v>2.5432229172551879</v>
      </c>
      <c r="BH62" s="1120">
        <v>3.2648913564418347E-2</v>
      </c>
      <c r="BI62" s="1122" t="s">
        <v>133</v>
      </c>
      <c r="BJ62" s="1120">
        <v>0.10207187774662438</v>
      </c>
      <c r="BK62" s="1120">
        <v>0.55383175527136208</v>
      </c>
      <c r="BL62" s="1119"/>
      <c r="BM62" s="1120"/>
      <c r="BN62" s="1120"/>
      <c r="BO62" s="1120">
        <v>0</v>
      </c>
      <c r="BP62" s="1120">
        <v>0.31284764196767667</v>
      </c>
      <c r="BQ62" s="1120">
        <v>0.12683826794999825</v>
      </c>
      <c r="BR62" s="1120">
        <v>0.2347181679446563</v>
      </c>
      <c r="BS62" s="1123"/>
      <c r="BT62" s="1124">
        <v>43.451000213623097</v>
      </c>
      <c r="BU62" s="1125">
        <v>2.3176631371882661</v>
      </c>
      <c r="BV62" s="1123"/>
      <c r="BW62" s="1126" t="s">
        <v>873</v>
      </c>
    </row>
    <row r="63" spans="38:75" ht="18" thickBot="1">
      <c r="AL63" s="1127" t="s">
        <v>872</v>
      </c>
      <c r="AM63" s="1128">
        <v>29.431202537507495</v>
      </c>
      <c r="AN63" s="1128">
        <v>277.62274342100358</v>
      </c>
      <c r="AO63" s="1128">
        <v>793.04312041196727</v>
      </c>
      <c r="AP63" s="1129"/>
      <c r="AQ63" s="1128">
        <v>110.7985959143073</v>
      </c>
      <c r="AR63" s="1130">
        <v>17900</v>
      </c>
      <c r="AS63" s="1128"/>
      <c r="AT63" s="1128">
        <v>211.37690962701461</v>
      </c>
      <c r="AU63" s="1128">
        <v>300.33117363367086</v>
      </c>
      <c r="AV63" s="1128">
        <v>263.471531962634</v>
      </c>
      <c r="AW63" s="1128">
        <v>10.847108232554032</v>
      </c>
      <c r="AX63" s="1128">
        <v>12.142325948862549</v>
      </c>
      <c r="AY63" s="1128">
        <v>16.417487016796446</v>
      </c>
      <c r="AZ63" s="1131">
        <v>4.0146481100828417</v>
      </c>
      <c r="BA63" s="1129">
        <v>0.35496527664099364</v>
      </c>
      <c r="BB63" s="1128">
        <v>308.36881119812142</v>
      </c>
      <c r="BC63" s="1128">
        <v>306.55643664207548</v>
      </c>
      <c r="BD63" s="1129"/>
      <c r="BE63" s="1129">
        <v>6.326125472429385E-2</v>
      </c>
      <c r="BF63" s="1129">
        <v>5.5888261813806656E-2</v>
      </c>
      <c r="BG63" s="1129">
        <v>3.4911619624656507</v>
      </c>
      <c r="BH63" s="1129">
        <v>3.3099888651210434E-2</v>
      </c>
      <c r="BI63" s="1129">
        <v>0.54245657169758366</v>
      </c>
      <c r="BJ63" s="1129">
        <v>0.9482520172905321</v>
      </c>
      <c r="BK63" s="1128">
        <v>19.140584763706265</v>
      </c>
      <c r="BL63" s="1132">
        <v>1.6397923113731321E-3</v>
      </c>
      <c r="BM63" s="1129"/>
      <c r="BN63" s="1129"/>
      <c r="BO63" s="1133" t="s">
        <v>214</v>
      </c>
      <c r="BP63" s="1129">
        <v>0.34120756458142798</v>
      </c>
      <c r="BQ63" s="1131">
        <v>1.7642227639091397</v>
      </c>
      <c r="BR63" s="1131">
        <v>2.5251708229451091</v>
      </c>
      <c r="BS63" s="1134"/>
      <c r="BT63" s="1135">
        <v>42.093002319335994</v>
      </c>
      <c r="BU63" s="1136">
        <v>2.1569928872575632</v>
      </c>
      <c r="BV63" s="1134"/>
      <c r="BW63" s="1137" t="s">
        <v>871</v>
      </c>
    </row>
    <row r="64" spans="38:75" ht="17">
      <c r="AL64" s="976" t="s">
        <v>870</v>
      </c>
      <c r="AM64" s="978">
        <v>0.77849374696521989</v>
      </c>
      <c r="AN64" s="977" t="s">
        <v>869</v>
      </c>
      <c r="AO64" s="979">
        <v>172.42462254420673</v>
      </c>
      <c r="AP64" s="978"/>
      <c r="AQ64" s="979">
        <v>277.77085710786969</v>
      </c>
      <c r="AR64" s="1032">
        <v>207400</v>
      </c>
      <c r="AS64" s="979"/>
      <c r="AT64" s="979">
        <v>1306.3947624996501</v>
      </c>
      <c r="AU64" s="979">
        <v>276.73267742859008</v>
      </c>
      <c r="AV64" s="979">
        <v>231.81755684561355</v>
      </c>
      <c r="AW64" s="980">
        <v>3.6123484372044219</v>
      </c>
      <c r="AX64" s="980">
        <v>1.3666450002317605</v>
      </c>
      <c r="AY64" s="979">
        <v>15.514251174229397</v>
      </c>
      <c r="AZ64" s="977" t="s">
        <v>868</v>
      </c>
      <c r="BA64" s="979">
        <v>44.387460716160035</v>
      </c>
      <c r="BB64" s="979">
        <v>152.26404022893772</v>
      </c>
      <c r="BC64" s="979">
        <v>155.55292088832644</v>
      </c>
      <c r="BD64" s="978"/>
      <c r="BE64" s="980">
        <v>2.9688782723469909</v>
      </c>
      <c r="BF64" s="979">
        <v>11.066418293821922</v>
      </c>
      <c r="BG64" s="979">
        <v>336.19626121705141</v>
      </c>
      <c r="BH64" s="980">
        <v>7.7214258921703145</v>
      </c>
      <c r="BI64" s="979">
        <v>117.34208863538954</v>
      </c>
      <c r="BJ64" s="979">
        <v>162.92422626561148</v>
      </c>
      <c r="BK64" s="980">
        <v>2.8425779782668763</v>
      </c>
      <c r="BL64" s="978">
        <v>2.7445009526101648E-2</v>
      </c>
      <c r="BM64" s="978"/>
      <c r="BN64" s="978"/>
      <c r="BO64" s="978">
        <v>0.13566344531110192</v>
      </c>
      <c r="BP64" s="979">
        <v>23.320010276997493</v>
      </c>
      <c r="BQ64" s="979">
        <v>520.00023097076121</v>
      </c>
      <c r="BR64" s="979">
        <v>441.8235492688874</v>
      </c>
      <c r="BS64" s="983"/>
      <c r="BT64" s="984">
        <v>44.809001922607393</v>
      </c>
      <c r="BU64" s="985">
        <v>1.3894823748113885</v>
      </c>
      <c r="BV64" s="983"/>
      <c r="BW64" s="983" t="s">
        <v>867</v>
      </c>
    </row>
    <row r="65" spans="38:75" ht="17">
      <c r="AL65" s="976" t="s">
        <v>866</v>
      </c>
      <c r="AM65" s="980">
        <v>2.2985049232354164</v>
      </c>
      <c r="AN65" s="980">
        <v>2.5381743258755574</v>
      </c>
      <c r="AO65" s="979">
        <v>370.50786225108038</v>
      </c>
      <c r="AP65" s="978"/>
      <c r="AQ65" s="979">
        <v>368.07531889597703</v>
      </c>
      <c r="AR65" s="1032">
        <v>207400</v>
      </c>
      <c r="AS65" s="979"/>
      <c r="AT65" s="979">
        <v>1269.5386571903221</v>
      </c>
      <c r="AU65" s="979">
        <v>460.82106462502787</v>
      </c>
      <c r="AV65" s="979">
        <v>386.34514423919609</v>
      </c>
      <c r="AW65" s="980">
        <v>4.4675140087503316</v>
      </c>
      <c r="AX65" s="980">
        <v>3.6744657104919489</v>
      </c>
      <c r="AY65" s="979">
        <v>21.764832726505645</v>
      </c>
      <c r="AZ65" s="977" t="s">
        <v>865</v>
      </c>
      <c r="BA65" s="979">
        <v>48.550221522379118</v>
      </c>
      <c r="BB65" s="979">
        <v>272.07136854006819</v>
      </c>
      <c r="BC65" s="979">
        <v>274.94915061474234</v>
      </c>
      <c r="BD65" s="978"/>
      <c r="BE65" s="980">
        <v>6.4979713181605208</v>
      </c>
      <c r="BF65" s="979">
        <v>11.982224127961954</v>
      </c>
      <c r="BG65" s="979">
        <v>259.06347496341812</v>
      </c>
      <c r="BH65" s="980">
        <v>8.5464166311714838</v>
      </c>
      <c r="BI65" s="979">
        <v>95.193836021179834</v>
      </c>
      <c r="BJ65" s="979">
        <v>127.26237319492365</v>
      </c>
      <c r="BK65" s="980">
        <v>6.2645375956493812</v>
      </c>
      <c r="BL65" s="978">
        <v>9.842078275589515E-2</v>
      </c>
      <c r="BM65" s="978"/>
      <c r="BN65" s="978"/>
      <c r="BO65" s="978">
        <v>0.39584174353824225</v>
      </c>
      <c r="BP65" s="979">
        <v>36.652959605917843</v>
      </c>
      <c r="BQ65" s="979">
        <v>272.56490840643875</v>
      </c>
      <c r="BR65" s="979">
        <v>244.43643615174167</v>
      </c>
      <c r="BS65" s="983"/>
      <c r="BT65" s="984">
        <v>44.130001068115298</v>
      </c>
      <c r="BU65" s="985">
        <v>0.99179451861853418</v>
      </c>
      <c r="BV65" s="983"/>
      <c r="BW65" s="983" t="s">
        <v>864</v>
      </c>
    </row>
    <row r="66" spans="38:75" ht="17">
      <c r="AL66" s="976" t="s">
        <v>863</v>
      </c>
      <c r="AM66" s="980">
        <v>1.2131760109891685</v>
      </c>
      <c r="AN66" s="977" t="s">
        <v>862</v>
      </c>
      <c r="AO66" s="979">
        <v>257.8295552498418</v>
      </c>
      <c r="AP66" s="978"/>
      <c r="AQ66" s="979">
        <v>334.09076214171569</v>
      </c>
      <c r="AR66" s="1032">
        <v>207400</v>
      </c>
      <c r="AS66" s="979"/>
      <c r="AT66" s="979">
        <v>1220.9235005354892</v>
      </c>
      <c r="AU66" s="979">
        <v>355.16707961527533</v>
      </c>
      <c r="AV66" s="979">
        <v>307.52780162809313</v>
      </c>
      <c r="AW66" s="980">
        <v>3.6992489938603366</v>
      </c>
      <c r="AX66" s="980">
        <v>2.8116770341851463</v>
      </c>
      <c r="AY66" s="979">
        <v>17.90349914696348</v>
      </c>
      <c r="AZ66" s="977" t="s">
        <v>861</v>
      </c>
      <c r="BA66" s="979">
        <v>50.069518481505774</v>
      </c>
      <c r="BB66" s="979">
        <v>211.30806511400647</v>
      </c>
      <c r="BC66" s="979">
        <v>213.10619903743563</v>
      </c>
      <c r="BD66" s="978"/>
      <c r="BE66" s="980">
        <v>7.132449474151513</v>
      </c>
      <c r="BF66" s="979">
        <v>12.639139488542622</v>
      </c>
      <c r="BG66" s="979">
        <v>255.64486909614342</v>
      </c>
      <c r="BH66" s="980">
        <v>9.2153749242247738</v>
      </c>
      <c r="BI66" s="979">
        <v>111.6584030342122</v>
      </c>
      <c r="BJ66" s="979">
        <v>131.9044514559815</v>
      </c>
      <c r="BK66" s="980">
        <v>5.0925468973113057</v>
      </c>
      <c r="BL66" s="978">
        <v>0.12063891779822837</v>
      </c>
      <c r="BM66" s="978"/>
      <c r="BN66" s="978"/>
      <c r="BO66" s="978">
        <v>0.48783333191731004</v>
      </c>
      <c r="BP66" s="979">
        <v>39.573522091048147</v>
      </c>
      <c r="BQ66" s="979">
        <v>375.28016075634036</v>
      </c>
      <c r="BR66" s="979">
        <v>281.25098294773517</v>
      </c>
      <c r="BS66" s="983"/>
      <c r="BT66" s="984">
        <v>44.809001922607393</v>
      </c>
      <c r="BU66" s="985">
        <v>1.1266276360392979</v>
      </c>
      <c r="BV66" s="983"/>
      <c r="BW66" s="983" t="s">
        <v>860</v>
      </c>
    </row>
    <row r="67" spans="38:75" ht="17">
      <c r="AL67" s="976" t="s">
        <v>859</v>
      </c>
      <c r="AM67" s="980">
        <v>0.9804016250346268</v>
      </c>
      <c r="AN67" s="1138" t="s">
        <v>288</v>
      </c>
      <c r="AO67" s="979">
        <v>202.10568506199266</v>
      </c>
      <c r="AP67" s="979"/>
      <c r="AQ67" s="979">
        <v>309.04163747149425</v>
      </c>
      <c r="AR67" s="1032">
        <v>207400</v>
      </c>
      <c r="AS67" s="979"/>
      <c r="AT67" s="979">
        <v>1227.4189910808561</v>
      </c>
      <c r="AU67" s="979">
        <v>307.56924218767324</v>
      </c>
      <c r="AV67" s="979">
        <v>250.04036187047174</v>
      </c>
      <c r="AW67" s="980">
        <v>3.4136794789146685</v>
      </c>
      <c r="AX67" s="980">
        <v>2.1556166147272444</v>
      </c>
      <c r="AY67" s="979">
        <v>16.17567365953094</v>
      </c>
      <c r="AZ67" s="977" t="s">
        <v>858</v>
      </c>
      <c r="BA67" s="979">
        <v>48.172163801343402</v>
      </c>
      <c r="BB67" s="979">
        <v>169.58756989038798</v>
      </c>
      <c r="BC67" s="979">
        <v>173.66956499229951</v>
      </c>
      <c r="BD67" s="978"/>
      <c r="BE67" s="980">
        <v>4.560820837438575</v>
      </c>
      <c r="BF67" s="979">
        <v>11.642739212372824</v>
      </c>
      <c r="BG67" s="979">
        <v>293.94964361810207</v>
      </c>
      <c r="BH67" s="980">
        <v>8.3549485271971111</v>
      </c>
      <c r="BI67" s="979">
        <v>109.6470324044152</v>
      </c>
      <c r="BJ67" s="979">
        <v>144.19398138179983</v>
      </c>
      <c r="BK67" s="980">
        <v>3.9141235566677985</v>
      </c>
      <c r="BL67" s="978">
        <v>9.0537752070224339E-2</v>
      </c>
      <c r="BM67" s="978"/>
      <c r="BN67" s="978"/>
      <c r="BO67" s="978">
        <v>0.31314475049534263</v>
      </c>
      <c r="BP67" s="979">
        <v>31.939434231086338</v>
      </c>
      <c r="BQ67" s="979">
        <v>423.26975655772003</v>
      </c>
      <c r="BR67" s="979">
        <v>353.71323495223714</v>
      </c>
      <c r="BS67" s="983"/>
      <c r="BT67" s="984">
        <v>42.772001266479492</v>
      </c>
      <c r="BU67" s="985">
        <v>1.3026370148653679</v>
      </c>
      <c r="BV67" s="983"/>
      <c r="BW67" s="983" t="s">
        <v>857</v>
      </c>
    </row>
    <row r="68" spans="38:75" ht="17">
      <c r="AL68" s="976" t="s">
        <v>856</v>
      </c>
      <c r="AM68" s="979">
        <v>38.626229742859593</v>
      </c>
      <c r="AN68" s="979">
        <v>69.588778675456865</v>
      </c>
      <c r="AO68" s="979">
        <v>280.2307469659313</v>
      </c>
      <c r="AP68" s="979"/>
      <c r="AQ68" s="979">
        <v>316.30260946974124</v>
      </c>
      <c r="AR68" s="1032">
        <v>207400</v>
      </c>
      <c r="AS68" s="979"/>
      <c r="AT68" s="979">
        <v>1380.3151752292613</v>
      </c>
      <c r="AU68" s="979">
        <v>353.28704240656111</v>
      </c>
      <c r="AV68" s="979">
        <v>302.67482305474545</v>
      </c>
      <c r="AW68" s="980">
        <v>7.5886531413016449</v>
      </c>
      <c r="AX68" s="980">
        <v>7.7677984297762377</v>
      </c>
      <c r="AY68" s="979">
        <v>17.99624624045229</v>
      </c>
      <c r="AZ68" s="977" t="s">
        <v>855</v>
      </c>
      <c r="BA68" s="979">
        <v>47.141819415858535</v>
      </c>
      <c r="BB68" s="979">
        <v>256.09292314349568</v>
      </c>
      <c r="BC68" s="979">
        <v>259.19209856151826</v>
      </c>
      <c r="BD68" s="978"/>
      <c r="BE68" s="980">
        <v>3.4206142199861085</v>
      </c>
      <c r="BF68" s="979">
        <v>11.362588061252495</v>
      </c>
      <c r="BG68" s="979">
        <v>295.6503606713747</v>
      </c>
      <c r="BH68" s="980">
        <v>8.0670881790983113</v>
      </c>
      <c r="BI68" s="979">
        <v>121.60625693490961</v>
      </c>
      <c r="BJ68" s="979">
        <v>159.91890358219308</v>
      </c>
      <c r="BK68" s="979">
        <v>12.109763779127404</v>
      </c>
      <c r="BL68" s="978">
        <v>6.5900426215583049E-2</v>
      </c>
      <c r="BM68" s="978"/>
      <c r="BN68" s="978"/>
      <c r="BO68" s="978">
        <v>0.33176269746932208</v>
      </c>
      <c r="BP68" s="979">
        <v>31.59708796772787</v>
      </c>
      <c r="BQ68" s="979">
        <v>456.25283740250836</v>
      </c>
      <c r="BR68" s="979">
        <v>383.23168880486708</v>
      </c>
      <c r="BS68" s="983"/>
      <c r="BT68" s="984">
        <v>45.488002777099595</v>
      </c>
      <c r="BU68" s="985">
        <v>1.1618210828014188</v>
      </c>
      <c r="BV68" s="983"/>
      <c r="BW68" s="983" t="s">
        <v>854</v>
      </c>
    </row>
    <row r="69" spans="38:75" ht="17">
      <c r="AL69" s="396" t="s">
        <v>853</v>
      </c>
      <c r="AM69" s="490" t="s">
        <v>128</v>
      </c>
      <c r="AN69" s="401">
        <v>50.598952020282354</v>
      </c>
      <c r="AO69" s="579" t="s">
        <v>852</v>
      </c>
      <c r="AP69" s="401"/>
      <c r="AQ69" s="401">
        <v>4660.2266076670176</v>
      </c>
      <c r="AR69" s="408">
        <v>55500</v>
      </c>
      <c r="AS69" s="401"/>
      <c r="AT69" s="401">
        <v>167.64655135581819</v>
      </c>
      <c r="AU69" s="490" t="s">
        <v>851</v>
      </c>
      <c r="AV69" s="403" t="s">
        <v>850</v>
      </c>
      <c r="AW69" s="401">
        <v>63.806077397341298</v>
      </c>
      <c r="AX69" s="401">
        <v>72.351888071455633</v>
      </c>
      <c r="AY69" s="401">
        <v>233.92377942620107</v>
      </c>
      <c r="AZ69" s="401">
        <v>232.68025741163152</v>
      </c>
      <c r="BA69" s="402">
        <v>5.7384226154719054</v>
      </c>
      <c r="BB69" s="402">
        <v>6.8979010409348982</v>
      </c>
      <c r="BC69" s="402">
        <v>8.0312505943814063</v>
      </c>
      <c r="BD69" s="400"/>
      <c r="BE69" s="402">
        <v>2.9174428555391523</v>
      </c>
      <c r="BF69" s="400">
        <v>0.38720097219424404</v>
      </c>
      <c r="BG69" s="403" t="s">
        <v>849</v>
      </c>
      <c r="BH69" s="400">
        <v>0.25874479018735852</v>
      </c>
      <c r="BI69" s="403" t="s">
        <v>140</v>
      </c>
      <c r="BJ69" s="403" t="s">
        <v>183</v>
      </c>
      <c r="BK69" s="402">
        <v>2.9540356084148689</v>
      </c>
      <c r="BL69" s="402">
        <v>1.1613306890966784</v>
      </c>
      <c r="BM69" s="400"/>
      <c r="BN69" s="400"/>
      <c r="BO69" s="401">
        <v>26.982686449186211</v>
      </c>
      <c r="BP69" s="400">
        <v>0.67540927959351305</v>
      </c>
      <c r="BQ69" s="403" t="s">
        <v>126</v>
      </c>
      <c r="BR69" s="403" t="s">
        <v>184</v>
      </c>
      <c r="BS69" s="398"/>
      <c r="BT69" s="394">
        <v>43.449998855590806</v>
      </c>
      <c r="BU69" s="399">
        <v>0.48815212832365834</v>
      </c>
      <c r="BV69" s="398"/>
      <c r="BW69" s="398" t="s">
        <v>848</v>
      </c>
    </row>
    <row r="70" spans="38:75" ht="18" thickBot="1">
      <c r="AL70" s="396" t="s">
        <v>847</v>
      </c>
      <c r="AM70" s="490" t="s">
        <v>137</v>
      </c>
      <c r="AN70" s="401">
        <v>52.938568521473897</v>
      </c>
      <c r="AO70" s="490" t="s">
        <v>203</v>
      </c>
      <c r="AP70" s="401"/>
      <c r="AQ70" s="401">
        <v>4365.9095565068155</v>
      </c>
      <c r="AR70" s="408">
        <v>55500</v>
      </c>
      <c r="AS70" s="401"/>
      <c r="AT70" s="401">
        <v>168.95189807702766</v>
      </c>
      <c r="AU70" s="490" t="s">
        <v>846</v>
      </c>
      <c r="AV70" s="403" t="s">
        <v>845</v>
      </c>
      <c r="AW70" s="401">
        <v>63.871190886676693</v>
      </c>
      <c r="AX70" s="401">
        <v>72.054803699906316</v>
      </c>
      <c r="AY70" s="401">
        <v>244.88006363781136</v>
      </c>
      <c r="AZ70" s="401">
        <v>232.4315092279476</v>
      </c>
      <c r="BA70" s="402">
        <v>5.5654939061086628</v>
      </c>
      <c r="BB70" s="402">
        <v>5.8800669421552101</v>
      </c>
      <c r="BC70" s="402">
        <v>7.7814014148015982</v>
      </c>
      <c r="BD70" s="400"/>
      <c r="BE70" s="402">
        <v>2.6084171503925262</v>
      </c>
      <c r="BF70" s="400">
        <v>0.36497253644739774</v>
      </c>
      <c r="BG70" s="403" t="s">
        <v>205</v>
      </c>
      <c r="BH70" s="400">
        <v>0.29906740072721005</v>
      </c>
      <c r="BI70" s="403" t="s">
        <v>686</v>
      </c>
      <c r="BJ70" s="403" t="s">
        <v>66</v>
      </c>
      <c r="BK70" s="402">
        <v>3.154781137894703</v>
      </c>
      <c r="BL70" s="402">
        <v>1.1166280133259634</v>
      </c>
      <c r="BM70" s="400"/>
      <c r="BN70" s="400"/>
      <c r="BO70" s="401">
        <v>25.992409389460612</v>
      </c>
      <c r="BP70" s="400">
        <v>0.65334373237203602</v>
      </c>
      <c r="BQ70" s="403" t="s">
        <v>129</v>
      </c>
      <c r="BR70" s="403" t="s">
        <v>113</v>
      </c>
      <c r="BS70" s="398"/>
      <c r="BT70" s="394">
        <v>44.809000015258796</v>
      </c>
      <c r="BU70" s="399">
        <v>0.49057416864554793</v>
      </c>
      <c r="BV70" s="398"/>
      <c r="BW70" s="398" t="s">
        <v>844</v>
      </c>
    </row>
    <row r="71" spans="38:75" ht="17">
      <c r="AL71" s="432" t="s">
        <v>217</v>
      </c>
      <c r="AM71" s="427">
        <v>448.64321051299981</v>
      </c>
      <c r="AN71" s="427">
        <v>416.11792816158305</v>
      </c>
      <c r="AO71" s="427">
        <v>447.79452717104573</v>
      </c>
      <c r="AP71" s="427"/>
      <c r="AQ71" s="427">
        <v>404.45671402833938</v>
      </c>
      <c r="AR71" s="431">
        <v>459</v>
      </c>
      <c r="AS71" s="427"/>
      <c r="AT71" s="427">
        <v>436.68467661988404</v>
      </c>
      <c r="AU71" s="427">
        <v>452.51592791279177</v>
      </c>
      <c r="AV71" s="427">
        <v>454.98852893069346</v>
      </c>
      <c r="AW71" s="427">
        <v>430.26892029634337</v>
      </c>
      <c r="AX71" s="427">
        <v>421.92971702923711</v>
      </c>
      <c r="AY71" s="427">
        <v>442.45600894125698</v>
      </c>
      <c r="AZ71" s="427">
        <v>440.03488490152375</v>
      </c>
      <c r="BA71" s="427">
        <v>324.28135260642739</v>
      </c>
      <c r="BB71" s="427">
        <v>420.17897224850185</v>
      </c>
      <c r="BC71" s="427">
        <v>426.88769115190348</v>
      </c>
      <c r="BD71" s="425"/>
      <c r="BE71" s="428">
        <v>1.2843707232097088</v>
      </c>
      <c r="BF71" s="428">
        <v>1.0676107955471572</v>
      </c>
      <c r="BG71" s="427">
        <v>249.85933066943358</v>
      </c>
      <c r="BH71" s="425">
        <v>1.0897567872199418</v>
      </c>
      <c r="BI71" s="427">
        <v>434.85548305924073</v>
      </c>
      <c r="BJ71" s="427">
        <v>403.05083938868921</v>
      </c>
      <c r="BK71" s="427">
        <v>448.8831468823592</v>
      </c>
      <c r="BL71" s="427">
        <v>50.248545309089295</v>
      </c>
      <c r="BM71" s="425"/>
      <c r="BN71" s="425"/>
      <c r="BO71" s="428">
        <v>3.1264224113035706</v>
      </c>
      <c r="BP71" s="427">
        <v>21.195955639965305</v>
      </c>
      <c r="BQ71" s="427">
        <v>415.66477023780402</v>
      </c>
      <c r="BR71" s="427">
        <v>350.63330040437359</v>
      </c>
      <c r="BS71" s="422"/>
      <c r="BT71" s="424">
        <v>44.809001922607393</v>
      </c>
      <c r="BU71" s="423">
        <v>1.0900117495430435</v>
      </c>
      <c r="BV71" s="422"/>
      <c r="BW71" s="421" t="s">
        <v>843</v>
      </c>
    </row>
    <row r="72" spans="38:75" ht="18" thickBot="1">
      <c r="AL72" s="420" t="s">
        <v>218</v>
      </c>
      <c r="AM72" s="414">
        <v>451.94140151005257</v>
      </c>
      <c r="AN72" s="414">
        <v>400.41946070267204</v>
      </c>
      <c r="AO72" s="414">
        <v>440.80249454623095</v>
      </c>
      <c r="AP72" s="413"/>
      <c r="AQ72" s="414">
        <v>416.03795611334414</v>
      </c>
      <c r="AR72" s="419">
        <v>459</v>
      </c>
      <c r="AS72" s="414"/>
      <c r="AT72" s="414">
        <v>445.8702038856635</v>
      </c>
      <c r="AU72" s="414">
        <v>468.04619129098825</v>
      </c>
      <c r="AV72" s="414">
        <v>465.58491771571812</v>
      </c>
      <c r="AW72" s="414">
        <v>436.28439662029479</v>
      </c>
      <c r="AX72" s="414">
        <v>444.57809557335855</v>
      </c>
      <c r="AY72" s="414">
        <v>452.10232570370835</v>
      </c>
      <c r="AZ72" s="414">
        <v>454.51392736807981</v>
      </c>
      <c r="BA72" s="414">
        <v>326.14360870097511</v>
      </c>
      <c r="BB72" s="414">
        <v>414.38505300723176</v>
      </c>
      <c r="BC72" s="414">
        <v>407.7073769331617</v>
      </c>
      <c r="BD72" s="413"/>
      <c r="BE72" s="415">
        <v>1.2973197351082688</v>
      </c>
      <c r="BF72" s="415">
        <v>1.0338341468056702</v>
      </c>
      <c r="BG72" s="414">
        <v>252.46545977352099</v>
      </c>
      <c r="BH72" s="413">
        <v>1.011923458243938</v>
      </c>
      <c r="BI72" s="414">
        <v>425.74963885607713</v>
      </c>
      <c r="BJ72" s="414">
        <v>389.52747349813797</v>
      </c>
      <c r="BK72" s="414">
        <v>439.72930185539519</v>
      </c>
      <c r="BL72" s="414">
        <v>47.816766461131067</v>
      </c>
      <c r="BM72" s="413"/>
      <c r="BN72" s="413"/>
      <c r="BO72" s="415">
        <v>3.1773439099277949</v>
      </c>
      <c r="BP72" s="414">
        <v>23.052074048571566</v>
      </c>
      <c r="BQ72" s="414">
        <v>436.8662196134033</v>
      </c>
      <c r="BR72" s="414">
        <v>365.19878267406955</v>
      </c>
      <c r="BS72" s="410"/>
      <c r="BT72" s="412">
        <v>44.809001922607393</v>
      </c>
      <c r="BU72" s="411">
        <v>1.0532769609242898</v>
      </c>
      <c r="BV72" s="410"/>
      <c r="BW72" s="409" t="s">
        <v>842</v>
      </c>
    </row>
    <row r="73" spans="38:75" ht="17">
      <c r="AL73" s="309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  <c r="BQ73" s="307"/>
      <c r="BR73" s="307"/>
      <c r="BS73" s="307"/>
      <c r="BT73" s="307"/>
      <c r="BU73" s="307"/>
      <c r="BV73" s="307"/>
      <c r="BW73" s="307"/>
    </row>
    <row r="74" spans="38:75" ht="17">
      <c r="AL74" s="309" t="s">
        <v>841</v>
      </c>
      <c r="AM74" s="311">
        <v>10</v>
      </c>
      <c r="AN74" s="311">
        <v>23</v>
      </c>
      <c r="AO74" s="311">
        <v>10</v>
      </c>
      <c r="AP74" s="311">
        <v>937000</v>
      </c>
      <c r="AQ74" s="311">
        <v>4600</v>
      </c>
      <c r="AR74" s="311">
        <v>55000</v>
      </c>
      <c r="AS74" s="311">
        <v>55000</v>
      </c>
      <c r="AT74" s="311">
        <v>145</v>
      </c>
      <c r="AU74" s="310">
        <v>0.34</v>
      </c>
      <c r="AV74" s="310">
        <v>0.34</v>
      </c>
      <c r="AW74" s="311">
        <v>58</v>
      </c>
      <c r="AX74" s="311">
        <v>58</v>
      </c>
      <c r="AY74" s="311">
        <v>177</v>
      </c>
      <c r="AZ74" s="311">
        <v>177</v>
      </c>
      <c r="BA74" s="308">
        <v>4.3</v>
      </c>
      <c r="BB74" s="308">
        <v>6.4</v>
      </c>
      <c r="BC74" s="308">
        <v>6.4</v>
      </c>
      <c r="BD74" s="308">
        <v>20</v>
      </c>
      <c r="BE74" s="308">
        <v>2.1</v>
      </c>
      <c r="BF74" s="308">
        <v>1.43</v>
      </c>
      <c r="BG74" s="308">
        <v>1</v>
      </c>
      <c r="BH74" s="308" t="s">
        <v>94</v>
      </c>
      <c r="BI74" s="308" t="s">
        <v>94</v>
      </c>
      <c r="BJ74" s="308" t="s">
        <v>94</v>
      </c>
      <c r="BK74" s="308">
        <v>2.85</v>
      </c>
      <c r="BL74" s="308">
        <v>1.1399999999999999</v>
      </c>
      <c r="BM74" s="308">
        <v>9.44</v>
      </c>
      <c r="BN74" s="308">
        <v>15.1</v>
      </c>
      <c r="BO74" s="308">
        <v>30.1</v>
      </c>
      <c r="BP74" s="308">
        <v>0.66</v>
      </c>
      <c r="BQ74" s="308" t="s">
        <v>94</v>
      </c>
      <c r="BR74" s="308" t="s">
        <v>94</v>
      </c>
      <c r="BS74" s="307"/>
      <c r="BT74" s="307"/>
      <c r="BU74" s="307"/>
      <c r="BV74" s="307"/>
      <c r="BW74" s="3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BX72"/>
  <sheetViews>
    <sheetView topLeftCell="Y1" zoomScale="109" zoomScaleNormal="90" workbookViewId="0">
      <selection activeCell="F13" sqref="F13"/>
    </sheetView>
  </sheetViews>
  <sheetFormatPr baseColWidth="10" defaultColWidth="11.6640625" defaultRowHeight="16"/>
  <cols>
    <col min="1" max="9" width="11.6640625" style="306"/>
    <col min="10" max="11" width="13.83203125" style="306" customWidth="1"/>
    <col min="12" max="12" width="11.6640625" style="306"/>
    <col min="13" max="14" width="15.33203125" style="306" customWidth="1"/>
    <col min="15" max="16" width="11.6640625" style="306"/>
    <col min="17" max="17" width="13.33203125" style="306" customWidth="1"/>
    <col min="18" max="19" width="12.83203125" style="306" customWidth="1"/>
    <col min="20" max="22" width="11.33203125" style="306" customWidth="1"/>
    <col min="23" max="23" width="14" style="306" customWidth="1"/>
    <col min="24" max="29" width="14.33203125" style="306" customWidth="1"/>
    <col min="30" max="33" width="12.5" style="306" customWidth="1"/>
    <col min="34" max="34" width="14.1640625" style="306" customWidth="1"/>
    <col min="35" max="36" width="12.5" style="306" customWidth="1"/>
    <col min="37" max="37" width="11.6640625" style="306"/>
    <col min="38" max="38" width="24.33203125" style="306" customWidth="1"/>
    <col min="39" max="74" width="11.6640625" style="306"/>
    <col min="75" max="75" width="58.6640625" style="306" customWidth="1"/>
    <col min="76" max="76" width="11.33203125" style="306" customWidth="1"/>
    <col min="77" max="16384" width="11.6640625" style="306"/>
  </cols>
  <sheetData>
    <row r="1" spans="1:75">
      <c r="A1" s="445" t="s">
        <v>495</v>
      </c>
      <c r="B1" s="445" t="s">
        <v>494</v>
      </c>
      <c r="C1" s="306" t="s">
        <v>493</v>
      </c>
      <c r="D1" s="306" t="s">
        <v>492</v>
      </c>
      <c r="E1" s="1442" t="s">
        <v>1421</v>
      </c>
      <c r="F1" s="306" t="s">
        <v>491</v>
      </c>
      <c r="G1" s="306" t="s">
        <v>490</v>
      </c>
      <c r="H1" s="1442" t="s">
        <v>1422</v>
      </c>
      <c r="I1" s="306" t="s">
        <v>489</v>
      </c>
      <c r="J1" s="306" t="s">
        <v>488</v>
      </c>
      <c r="K1" s="1445" t="s">
        <v>1423</v>
      </c>
      <c r="L1" s="844" t="s">
        <v>487</v>
      </c>
      <c r="M1" s="875" t="s">
        <v>1392</v>
      </c>
      <c r="N1" s="886" t="s">
        <v>1353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82" t="s">
        <v>935</v>
      </c>
      <c r="X1" s="306" t="s">
        <v>481</v>
      </c>
      <c r="Y1" s="306" t="s">
        <v>480</v>
      </c>
      <c r="Z1" s="1375" t="s">
        <v>1411</v>
      </c>
      <c r="AA1" s="1375" t="s">
        <v>1412</v>
      </c>
      <c r="AB1" s="874" t="s">
        <v>1394</v>
      </c>
      <c r="AC1" s="843" t="s">
        <v>478</v>
      </c>
      <c r="AD1" s="843" t="s">
        <v>1353</v>
      </c>
      <c r="AE1" s="1530" t="s">
        <v>1428</v>
      </c>
      <c r="AF1" s="1530" t="s">
        <v>1429</v>
      </c>
      <c r="AG1" s="1483" t="s">
        <v>1425</v>
      </c>
      <c r="AH1" s="1485" t="s">
        <v>1426</v>
      </c>
      <c r="AI1" s="866" t="s">
        <v>1353</v>
      </c>
      <c r="AJ1" s="1488"/>
    </row>
    <row r="2" spans="1:75" ht="19">
      <c r="L2" s="846"/>
      <c r="N2" s="847"/>
      <c r="W2" s="853"/>
      <c r="AB2" s="846"/>
      <c r="AG2" s="846"/>
      <c r="AI2" s="847"/>
      <c r="AL2" s="1053" t="s">
        <v>271</v>
      </c>
      <c r="AM2" s="381" t="s">
        <v>0</v>
      </c>
      <c r="AN2" s="307"/>
      <c r="AO2" s="307"/>
      <c r="AP2" s="373"/>
      <c r="AQ2" s="373"/>
      <c r="AR2" s="307"/>
      <c r="AS2" s="307"/>
      <c r="AT2" s="307"/>
      <c r="AU2" s="307"/>
      <c r="AV2" s="307"/>
      <c r="AW2" s="307"/>
      <c r="AX2" s="307"/>
      <c r="AY2" s="373"/>
      <c r="AZ2" s="373"/>
      <c r="BA2" s="373"/>
      <c r="BB2" s="373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</row>
    <row r="3" spans="1:75" ht="18" thickBot="1">
      <c r="A3" s="435" t="s">
        <v>313</v>
      </c>
      <c r="B3" s="435" t="s">
        <v>3</v>
      </c>
      <c r="C3" s="405" t="e">
        <f>AVERAGE(AM$52:AM$56)</f>
        <v>#DIV/0!</v>
      </c>
      <c r="D3" s="405" t="e">
        <f>STDEV(AM$52:AM$56)</f>
        <v>#DIV/0!</v>
      </c>
      <c r="E3" s="405" t="e" cm="1">
        <f t="array" ref="E3:E34">2*D3:D34</f>
        <v>#DIV/0!</v>
      </c>
      <c r="F3" s="405">
        <f>AVERAGE(AM$57:AM$61)</f>
        <v>11.439323779783768</v>
      </c>
      <c r="G3" s="405">
        <f>STDEV(AM$57:AM$61)</f>
        <v>15.515774086630339</v>
      </c>
      <c r="H3" s="405" cm="1">
        <f t="array" ref="H3:H34">2*G3:G34</f>
        <v>31.031548173260678</v>
      </c>
      <c r="I3" s="434">
        <f>AVERAGE(AM$62:AM$66)</f>
        <v>0.62485284664469254</v>
      </c>
      <c r="J3" s="434">
        <f>STDEV(AM$62:AM$66)</f>
        <v>0.2117566994310747</v>
      </c>
      <c r="K3" s="434" cm="1">
        <f t="array" ref="K3:K34">2*J3:J34</f>
        <v>0.42351339886214939</v>
      </c>
      <c r="L3" s="848" t="e" cm="1">
        <f t="array" ref="L3:L34">C3:C34/I3:I34</f>
        <v>#DIV/0!</v>
      </c>
      <c r="M3" s="571" t="e" cm="1">
        <f t="array" ref="M3:M34">L3:L34*SQRT((D3:D34/C3:C34)^2 + (J3:J34/I3:I34)^2)</f>
        <v>#DIV/0!</v>
      </c>
      <c r="N3" s="862" t="e" cm="1">
        <f t="array" ref="N3:N34">2*(M3:M34)</f>
        <v>#DIV/0!</v>
      </c>
      <c r="O3" s="435">
        <v>0.56999999999999995</v>
      </c>
      <c r="P3" s="433">
        <v>3</v>
      </c>
      <c r="Q3" s="778">
        <v>0.43392875400000003</v>
      </c>
      <c r="R3" s="570">
        <f t="shared" ref="R3:R34" si="0">(1-(2*Q3))/(1-Q3)</f>
        <v>0.23343791604634864</v>
      </c>
      <c r="S3" s="778">
        <f>O3*(((1-(2*C47))/(1-C47))^P3)</f>
        <v>5.7159838601305822E-3</v>
      </c>
      <c r="T3" s="433">
        <f>O3*(((1-(2*C46))/(1-C46))^P3)</f>
        <v>8.9753206459943433E-3</v>
      </c>
      <c r="U3" s="433" cm="1">
        <f t="array" ref="U3:U34">W3:W34-S3:S34</f>
        <v>1.5348682662942653E-3</v>
      </c>
      <c r="V3" s="433" cm="1">
        <f t="array" ref="V3:V34">T3:T34-W3:W34</f>
        <v>1.7244685195694958E-3</v>
      </c>
      <c r="W3" s="854">
        <f t="shared" ref="W3:W34" si="1">O3*((R3)^P3)</f>
        <v>7.2508521264248475E-3</v>
      </c>
      <c r="X3" s="573" t="e">
        <f t="shared" ref="X3:X34" si="2">L3/W3</f>
        <v>#DIV/0!</v>
      </c>
      <c r="Y3" s="570" t="e">
        <f t="shared" ref="Y3:Y34" si="3">X3*(M3/L3)</f>
        <v>#DIV/0!</v>
      </c>
      <c r="Z3" s="570"/>
      <c r="AA3" s="570"/>
      <c r="AB3" s="868" t="e" cm="1">
        <f t="array" ref="AB3:AB34">C3:C34/F3:F34</f>
        <v>#DIV/0!</v>
      </c>
      <c r="AC3" s="571" t="e" cm="1">
        <f t="array" ref="AC3:AC34">AB3:AB34*SQRT((D3:D34/C3:C34)^2 + (G3:G34/F3:F34)^2)</f>
        <v>#DIV/0!</v>
      </c>
      <c r="AD3" s="813" t="e" cm="1">
        <f t="array" ref="AD3:AD34">2*AC3:AC34</f>
        <v>#DIV/0!</v>
      </c>
      <c r="AE3" s="570"/>
      <c r="AF3" s="570"/>
      <c r="AG3" s="867" cm="1">
        <f t="array" ref="AG3:AG34">F3:F34/I3:I34</f>
        <v>18.307228399790684</v>
      </c>
      <c r="AH3" s="813" cm="1">
        <f t="array" ref="AH3:AH34">AG3:AG34*SQRT((J3:J34/I3:I34)^2 + (G3:G34/F3:F34)^2)</f>
        <v>25.594417447598989</v>
      </c>
      <c r="AI3" s="858" cm="1">
        <f t="array" ref="AI3:AI34">2*AH3:AH34</f>
        <v>51.188834895197978</v>
      </c>
      <c r="AJ3" s="435" t="s">
        <v>3</v>
      </c>
      <c r="AL3" s="380"/>
      <c r="AM3" s="307" t="s">
        <v>1064</v>
      </c>
      <c r="AN3" s="307"/>
      <c r="AO3" s="307"/>
      <c r="AP3" s="307"/>
      <c r="AQ3" s="373"/>
      <c r="AR3" s="307"/>
      <c r="AS3" s="307"/>
      <c r="AT3" s="307"/>
      <c r="AU3" s="307"/>
      <c r="AV3" s="379"/>
      <c r="AW3" s="378">
        <v>43784.464942129627</v>
      </c>
      <c r="AX3" s="307"/>
      <c r="AY3" s="379"/>
      <c r="AZ3" s="378"/>
      <c r="BA3" s="373"/>
      <c r="BB3" s="373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</row>
    <row r="4" spans="1:75" ht="17">
      <c r="A4" s="435" t="s">
        <v>313</v>
      </c>
      <c r="B4" s="435" t="s">
        <v>4</v>
      </c>
      <c r="C4" s="405" t="e">
        <f>AVERAGE(AN$52:AN$56)</f>
        <v>#DIV/0!</v>
      </c>
      <c r="D4" s="405" t="e">
        <f>STDEV(AN$52:AN$56)</f>
        <v>#DIV/0!</v>
      </c>
      <c r="E4" s="405" t="e">
        <v>#DIV/0!</v>
      </c>
      <c r="F4" s="405">
        <f>AVERAGE(AN$57:AN$61)</f>
        <v>86.757864551983772</v>
      </c>
      <c r="G4" s="405">
        <f>STDEV(AN$57:AN$61)</f>
        <v>103.77442282545937</v>
      </c>
      <c r="H4" s="405">
        <v>207.54884565091874</v>
      </c>
      <c r="I4" s="405" t="e">
        <f>AVERAGE(AN$62:AN$66)</f>
        <v>#DIV/0!</v>
      </c>
      <c r="J4" s="405" t="e">
        <f>STDEV(AN$62:AN$66)</f>
        <v>#DIV/0!</v>
      </c>
      <c r="K4" s="405" t="e">
        <v>#DIV/0!</v>
      </c>
      <c r="L4" s="848" t="e">
        <v>#DIV/0!</v>
      </c>
      <c r="M4" s="571" t="e">
        <v>#DIV/0!</v>
      </c>
      <c r="N4" s="862" t="e">
        <v>#DIV/0!</v>
      </c>
      <c r="O4" s="435">
        <v>0.81</v>
      </c>
      <c r="P4" s="433">
        <v>1.66</v>
      </c>
      <c r="Q4" s="778">
        <v>0.43392875400000003</v>
      </c>
      <c r="R4" s="570">
        <f t="shared" si="0"/>
        <v>0.23343791604634864</v>
      </c>
      <c r="S4" s="433">
        <f>O4*(((1-(2*C47))/(1-C47))^P4)</f>
        <v>6.3458716218001421E-2</v>
      </c>
      <c r="T4" s="433">
        <f>O4*(((1-(2*C46))/(1-C46))^P4)</f>
        <v>8.1455781933282081E-2</v>
      </c>
      <c r="U4" s="433">
        <v>8.9264437922836337E-3</v>
      </c>
      <c r="V4" s="433">
        <v>9.070621922997027E-3</v>
      </c>
      <c r="W4" s="854">
        <f t="shared" si="1"/>
        <v>7.2385160010285055E-2</v>
      </c>
      <c r="X4" s="573" t="e">
        <f t="shared" si="2"/>
        <v>#DIV/0!</v>
      </c>
      <c r="Y4" s="570" t="e">
        <f t="shared" si="3"/>
        <v>#DIV/0!</v>
      </c>
      <c r="Z4" s="778">
        <f>AN46/F4</f>
        <v>4.7627670855936201E-3</v>
      </c>
      <c r="AA4" s="570"/>
      <c r="AB4" s="868" t="e">
        <v>#DIV/0!</v>
      </c>
      <c r="AC4" s="571" t="e">
        <v>#DIV/0!</v>
      </c>
      <c r="AD4" s="813" t="e">
        <v>#DIV/0!</v>
      </c>
      <c r="AE4" s="570"/>
      <c r="AF4" s="570"/>
      <c r="AG4" s="867" t="e">
        <v>#DIV/0!</v>
      </c>
      <c r="AH4" s="813" t="e">
        <v>#DIV/0!</v>
      </c>
      <c r="AI4" s="858" t="e">
        <v>#DIV/0!</v>
      </c>
      <c r="AJ4" s="435" t="s">
        <v>4</v>
      </c>
      <c r="AL4" s="309" t="s">
        <v>2</v>
      </c>
      <c r="AM4" s="375" t="s">
        <v>3</v>
      </c>
      <c r="AN4" s="375" t="s">
        <v>4</v>
      </c>
      <c r="AO4" s="375" t="s">
        <v>5</v>
      </c>
      <c r="AP4" s="375" t="s">
        <v>6</v>
      </c>
      <c r="AQ4" s="375" t="s">
        <v>7</v>
      </c>
      <c r="AR4" s="377" t="s">
        <v>8</v>
      </c>
      <c r="AS4" s="375" t="s">
        <v>8</v>
      </c>
      <c r="AT4" s="375" t="s">
        <v>9</v>
      </c>
      <c r="AU4" s="375" t="s">
        <v>10</v>
      </c>
      <c r="AV4" s="375" t="s">
        <v>10</v>
      </c>
      <c r="AW4" s="375" t="s">
        <v>11</v>
      </c>
      <c r="AX4" s="375" t="s">
        <v>11</v>
      </c>
      <c r="AY4" s="375" t="s">
        <v>12</v>
      </c>
      <c r="AZ4" s="375" t="s">
        <v>12</v>
      </c>
      <c r="BA4" s="375" t="s">
        <v>13</v>
      </c>
      <c r="BB4" s="375" t="s">
        <v>14</v>
      </c>
      <c r="BC4" s="375" t="s">
        <v>14</v>
      </c>
      <c r="BD4" s="375" t="s">
        <v>15</v>
      </c>
      <c r="BE4" s="375" t="s">
        <v>16</v>
      </c>
      <c r="BF4" s="375" t="s">
        <v>17</v>
      </c>
      <c r="BG4" s="375" t="s">
        <v>18</v>
      </c>
      <c r="BH4" s="375" t="s">
        <v>17</v>
      </c>
      <c r="BI4" s="375" t="s">
        <v>19</v>
      </c>
      <c r="BJ4" s="375" t="s">
        <v>20</v>
      </c>
      <c r="BK4" s="375" t="s">
        <v>21</v>
      </c>
      <c r="BL4" s="375" t="s">
        <v>22</v>
      </c>
      <c r="BM4" s="375" t="s">
        <v>23</v>
      </c>
      <c r="BN4" s="375" t="s">
        <v>24</v>
      </c>
      <c r="BO4" s="375" t="s">
        <v>25</v>
      </c>
      <c r="BP4" s="375" t="s">
        <v>26</v>
      </c>
      <c r="BQ4" s="375" t="s">
        <v>27</v>
      </c>
      <c r="BR4" s="375" t="s">
        <v>28</v>
      </c>
      <c r="BS4" s="307"/>
      <c r="BT4" s="375" t="s">
        <v>29</v>
      </c>
      <c r="BU4" s="375" t="s">
        <v>30</v>
      </c>
      <c r="BV4" s="375"/>
      <c r="BW4" s="375" t="s">
        <v>31</v>
      </c>
    </row>
    <row r="5" spans="1:75" ht="17">
      <c r="A5" s="435" t="s">
        <v>313</v>
      </c>
      <c r="B5" s="435" t="s">
        <v>5</v>
      </c>
      <c r="C5" s="405" t="e">
        <f>AVERAGE(AO$52:AO$56)</f>
        <v>#DIV/0!</v>
      </c>
      <c r="D5" s="405" t="e">
        <f>STDEV(AO$52:AO$56)</f>
        <v>#DIV/0!</v>
      </c>
      <c r="E5" s="405" t="e">
        <v>#DIV/0!</v>
      </c>
      <c r="F5" s="434">
        <f>AVERAGE(AO$57:AO$61)</f>
        <v>894.53039828451688</v>
      </c>
      <c r="G5" s="434">
        <f>STDEV(AO$57:AO$61)</f>
        <v>266.40764091516206</v>
      </c>
      <c r="H5" s="434">
        <v>532.81528183032412</v>
      </c>
      <c r="I5" s="434">
        <f>AVERAGE(AO$62:AO$66)</f>
        <v>188.64932619253719</v>
      </c>
      <c r="J5" s="434">
        <f>STDEV(AO$62:AO$66)</f>
        <v>45.016270874595207</v>
      </c>
      <c r="K5" s="434">
        <v>90.032541749190415</v>
      </c>
      <c r="L5" s="848" t="e">
        <v>#DIV/0!</v>
      </c>
      <c r="M5" s="571" t="e">
        <v>#DIV/0!</v>
      </c>
      <c r="N5" s="862" t="e">
        <v>#DIV/0!</v>
      </c>
      <c r="O5" s="435"/>
      <c r="P5" s="433"/>
      <c r="Q5" s="778">
        <v>0.43392875400000003</v>
      </c>
      <c r="R5" s="570">
        <f t="shared" si="0"/>
        <v>0.23343791604634864</v>
      </c>
      <c r="S5" s="433"/>
      <c r="T5" s="433"/>
      <c r="U5" s="433">
        <v>0</v>
      </c>
      <c r="V5" s="433">
        <v>0</v>
      </c>
      <c r="W5" s="854">
        <f t="shared" si="1"/>
        <v>0</v>
      </c>
      <c r="X5" s="570" t="e">
        <f t="shared" si="2"/>
        <v>#DIV/0!</v>
      </c>
      <c r="Y5" s="570" t="e">
        <f t="shared" si="3"/>
        <v>#DIV/0!</v>
      </c>
      <c r="Z5" s="570"/>
      <c r="AA5" s="570"/>
      <c r="AB5" s="868" t="e">
        <v>#DIV/0!</v>
      </c>
      <c r="AC5" s="571" t="e">
        <v>#DIV/0!</v>
      </c>
      <c r="AD5" s="813" t="e">
        <v>#DIV/0!</v>
      </c>
      <c r="AE5" s="570"/>
      <c r="AF5" s="570"/>
      <c r="AG5" s="867">
        <v>4.7417630178628425</v>
      </c>
      <c r="AH5" s="813">
        <v>1.8095729942464593</v>
      </c>
      <c r="AI5" s="858">
        <v>3.6191459884929187</v>
      </c>
      <c r="AJ5" s="435" t="s">
        <v>5</v>
      </c>
      <c r="AL5" s="309" t="s">
        <v>32</v>
      </c>
      <c r="AM5" s="307">
        <v>51</v>
      </c>
      <c r="AN5" s="307">
        <v>53</v>
      </c>
      <c r="AO5" s="307">
        <v>55</v>
      </c>
      <c r="AP5" s="307">
        <v>57</v>
      </c>
      <c r="AQ5" s="307">
        <v>59</v>
      </c>
      <c r="AR5" s="370">
        <v>61</v>
      </c>
      <c r="AS5" s="307">
        <v>62</v>
      </c>
      <c r="AT5" s="307">
        <v>63</v>
      </c>
      <c r="AU5" s="307">
        <v>66</v>
      </c>
      <c r="AV5" s="307">
        <v>67</v>
      </c>
      <c r="AW5" s="307">
        <v>69</v>
      </c>
      <c r="AX5" s="307">
        <v>71</v>
      </c>
      <c r="AY5" s="307">
        <v>72</v>
      </c>
      <c r="AZ5" s="307">
        <v>73</v>
      </c>
      <c r="BA5" s="307">
        <v>75</v>
      </c>
      <c r="BB5" s="307">
        <v>95</v>
      </c>
      <c r="BC5" s="307">
        <v>97</v>
      </c>
      <c r="BD5" s="307">
        <v>101</v>
      </c>
      <c r="BE5" s="307">
        <v>103</v>
      </c>
      <c r="BF5" s="307">
        <v>105</v>
      </c>
      <c r="BG5" s="307">
        <v>107</v>
      </c>
      <c r="BH5" s="307">
        <v>108</v>
      </c>
      <c r="BI5" s="307">
        <v>118</v>
      </c>
      <c r="BJ5" s="307">
        <v>121</v>
      </c>
      <c r="BK5" s="307">
        <v>184</v>
      </c>
      <c r="BL5" s="307">
        <v>185</v>
      </c>
      <c r="BM5" s="307">
        <v>189</v>
      </c>
      <c r="BN5" s="307">
        <v>193</v>
      </c>
      <c r="BO5" s="307">
        <v>195</v>
      </c>
      <c r="BP5" s="307">
        <v>197</v>
      </c>
      <c r="BQ5" s="307">
        <v>208</v>
      </c>
      <c r="BR5" s="307">
        <v>209</v>
      </c>
      <c r="BS5" s="307"/>
      <c r="BT5" s="375" t="s">
        <v>33</v>
      </c>
      <c r="BU5" s="375" t="s">
        <v>34</v>
      </c>
      <c r="BV5" s="307"/>
      <c r="BW5" s="307"/>
    </row>
    <row r="6" spans="1:75" ht="17">
      <c r="A6" s="435" t="s">
        <v>839</v>
      </c>
      <c r="B6" s="435" t="s">
        <v>6</v>
      </c>
      <c r="C6" s="405" t="e">
        <f>AVERAGE(AP$52:AP$56)</f>
        <v>#DIV/0!</v>
      </c>
      <c r="D6" s="405" t="e">
        <f>STDEV(AP$52:AP$56)</f>
        <v>#DIV/0!</v>
      </c>
      <c r="E6" s="405" t="e">
        <v>#DIV/0!</v>
      </c>
      <c r="F6" s="405" t="e">
        <f>AVERAGE(AP$57:AP$61)</f>
        <v>#DIV/0!</v>
      </c>
      <c r="G6" s="405" t="e">
        <f>STDEV(AP$57:AP$61)</f>
        <v>#DIV/0!</v>
      </c>
      <c r="H6" s="405" t="e">
        <v>#DIV/0!</v>
      </c>
      <c r="I6" s="434">
        <f>AVERAGE(AP$62:AP$66)</f>
        <v>1351893.4851632474</v>
      </c>
      <c r="J6" s="434">
        <f>STDEV(AP$62:AP$66)</f>
        <v>180501.7592274507</v>
      </c>
      <c r="K6" s="434">
        <v>361003.51845490141</v>
      </c>
      <c r="L6" s="878" t="e">
        <v>#DIV/0!</v>
      </c>
      <c r="M6" s="573" t="e">
        <v>#DIV/0!</v>
      </c>
      <c r="N6" s="864" t="e">
        <v>#DIV/0!</v>
      </c>
      <c r="O6" s="435"/>
      <c r="P6" s="433"/>
      <c r="Q6" s="778">
        <v>0.43392875400000003</v>
      </c>
      <c r="R6" s="570">
        <f t="shared" si="0"/>
        <v>0.23343791604634864</v>
      </c>
      <c r="S6" s="736"/>
      <c r="T6" s="736"/>
      <c r="U6" s="736">
        <v>0</v>
      </c>
      <c r="V6" s="736">
        <v>0</v>
      </c>
      <c r="W6" s="854">
        <f t="shared" si="1"/>
        <v>0</v>
      </c>
      <c r="X6" s="570" t="e">
        <f t="shared" si="2"/>
        <v>#DIV/0!</v>
      </c>
      <c r="Y6" s="570" t="e">
        <f t="shared" si="3"/>
        <v>#DIV/0!</v>
      </c>
      <c r="Z6" s="570"/>
      <c r="AA6" s="570"/>
      <c r="AB6" s="873" t="e">
        <v>#DIV/0!</v>
      </c>
      <c r="AC6" s="573" t="e">
        <v>#DIV/0!</v>
      </c>
      <c r="AD6" s="573" t="e">
        <v>#DIV/0!</v>
      </c>
      <c r="AE6" s="570"/>
      <c r="AF6" s="570"/>
      <c r="AG6" s="868" t="e">
        <v>#DIV/0!</v>
      </c>
      <c r="AH6" s="571" t="e">
        <v>#DIV/0!</v>
      </c>
      <c r="AI6" s="862" t="e">
        <v>#DIV/0!</v>
      </c>
      <c r="AJ6" s="435" t="s">
        <v>6</v>
      </c>
      <c r="AL6" s="309"/>
      <c r="AM6" s="375" t="s">
        <v>35</v>
      </c>
      <c r="AN6" s="375" t="s">
        <v>35</v>
      </c>
      <c r="AO6" s="375" t="s">
        <v>35</v>
      </c>
      <c r="AP6" s="375" t="s">
        <v>35</v>
      </c>
      <c r="AQ6" s="375" t="s">
        <v>35</v>
      </c>
      <c r="AR6" s="376" t="s">
        <v>35</v>
      </c>
      <c r="AS6" s="375" t="s">
        <v>35</v>
      </c>
      <c r="AT6" s="375" t="s">
        <v>35</v>
      </c>
      <c r="AU6" s="375" t="s">
        <v>35</v>
      </c>
      <c r="AV6" s="375" t="s">
        <v>35</v>
      </c>
      <c r="AW6" s="375" t="s">
        <v>35</v>
      </c>
      <c r="AX6" s="375" t="s">
        <v>35</v>
      </c>
      <c r="AY6" s="375" t="s">
        <v>35</v>
      </c>
      <c r="AZ6" s="375" t="s">
        <v>35</v>
      </c>
      <c r="BA6" s="375" t="s">
        <v>35</v>
      </c>
      <c r="BB6" s="375" t="s">
        <v>35</v>
      </c>
      <c r="BC6" s="375" t="s">
        <v>35</v>
      </c>
      <c r="BD6" s="375" t="s">
        <v>35</v>
      </c>
      <c r="BE6" s="375" t="s">
        <v>35</v>
      </c>
      <c r="BF6" s="375" t="s">
        <v>35</v>
      </c>
      <c r="BG6" s="375" t="s">
        <v>35</v>
      </c>
      <c r="BH6" s="375" t="s">
        <v>35</v>
      </c>
      <c r="BI6" s="375" t="s">
        <v>35</v>
      </c>
      <c r="BJ6" s="375" t="s">
        <v>35</v>
      </c>
      <c r="BK6" s="375" t="s">
        <v>35</v>
      </c>
      <c r="BL6" s="375" t="s">
        <v>35</v>
      </c>
      <c r="BM6" s="375" t="s">
        <v>35</v>
      </c>
      <c r="BN6" s="375" t="s">
        <v>35</v>
      </c>
      <c r="BO6" s="375" t="s">
        <v>35</v>
      </c>
      <c r="BP6" s="375" t="s">
        <v>35</v>
      </c>
      <c r="BQ6" s="375" t="s">
        <v>35</v>
      </c>
      <c r="BR6" s="375" t="s">
        <v>35</v>
      </c>
      <c r="BS6" s="307"/>
      <c r="BT6" s="307"/>
      <c r="BU6" s="307"/>
      <c r="BV6" s="307"/>
      <c r="BW6" s="307"/>
    </row>
    <row r="7" spans="1:75" ht="17">
      <c r="A7" s="577" t="s">
        <v>313</v>
      </c>
      <c r="B7" s="577" t="s">
        <v>7</v>
      </c>
      <c r="C7" s="1453">
        <f>AVERAGE(AQ$52:AQ$56)</f>
        <v>1017.5031207307317</v>
      </c>
      <c r="D7" s="434">
        <f>STDEV(AQ$52:AQ$56)</f>
        <v>20.086174129425174</v>
      </c>
      <c r="E7" s="1453">
        <v>40.172348258850349</v>
      </c>
      <c r="F7" s="1453">
        <f>AVERAGE(AQ$57:AQ$61)</f>
        <v>124.12574500067942</v>
      </c>
      <c r="G7" s="434">
        <f>STDEV(AQ$57:AQ$61)</f>
        <v>19.194634548618993</v>
      </c>
      <c r="H7" s="1453">
        <v>38.389269097237985</v>
      </c>
      <c r="I7" s="1453">
        <f>AVERAGE(AQ$62:AQ$66)</f>
        <v>270.49874877881666</v>
      </c>
      <c r="J7" s="434">
        <f>STDEV(AQ$62:AQ$66)</f>
        <v>31.719075882321306</v>
      </c>
      <c r="K7" s="1453">
        <v>63.438151764642612</v>
      </c>
      <c r="L7" s="930">
        <v>3.7615816166407883</v>
      </c>
      <c r="M7" s="570">
        <v>0.44729525638452533</v>
      </c>
      <c r="N7" s="879">
        <v>0.89459051276905066</v>
      </c>
      <c r="O7" s="577">
        <v>0.95</v>
      </c>
      <c r="P7" s="576">
        <v>-1.26</v>
      </c>
      <c r="Q7" s="778">
        <v>0.43392875400000003</v>
      </c>
      <c r="R7" s="570">
        <f t="shared" si="0"/>
        <v>0.23343791604634864</v>
      </c>
      <c r="S7" s="781">
        <f>O7*(((1-(2*C46))/(1-C46))^P7)</f>
        <v>5.4313783408619711</v>
      </c>
      <c r="T7" s="781">
        <f>O7*(((1-(2*C47))/(1-C47))^P7)</f>
        <v>6.564668909819277</v>
      </c>
      <c r="U7" s="781">
        <v>0.50918518513988342</v>
      </c>
      <c r="V7" s="781">
        <v>0.62410538381742242</v>
      </c>
      <c r="W7" s="888">
        <f t="shared" si="1"/>
        <v>5.9405635260018546</v>
      </c>
      <c r="X7" s="570">
        <f t="shared" si="2"/>
        <v>0.63320282666389149</v>
      </c>
      <c r="Y7" s="570">
        <f t="shared" si="3"/>
        <v>7.5295088492314477E-2</v>
      </c>
      <c r="Z7" s="570"/>
      <c r="AA7" s="570"/>
      <c r="AB7" s="885">
        <v>8.197357612839804</v>
      </c>
      <c r="AC7" s="570">
        <v>1.2779151461183162</v>
      </c>
      <c r="AD7" s="573">
        <v>2.5558302922366325</v>
      </c>
      <c r="AE7" s="570"/>
      <c r="AF7" s="570"/>
      <c r="AG7" s="873">
        <v>0.45887733514869394</v>
      </c>
      <c r="AH7" s="573">
        <v>8.905454605788056E-2</v>
      </c>
      <c r="AI7" s="864">
        <v>0.17810909211576112</v>
      </c>
      <c r="AJ7" s="577" t="s">
        <v>7</v>
      </c>
      <c r="AL7" s="309"/>
      <c r="AM7" s="373"/>
      <c r="AN7" s="373"/>
      <c r="AO7" s="373"/>
      <c r="AP7" s="373"/>
      <c r="AQ7" s="373"/>
      <c r="AR7" s="374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</row>
    <row r="8" spans="1:75" ht="17">
      <c r="A8" s="577" t="s">
        <v>313</v>
      </c>
      <c r="B8" s="577" t="s">
        <v>477</v>
      </c>
      <c r="C8" s="434">
        <f>AVERAGE(AR$52:AR$56)</f>
        <v>454100</v>
      </c>
      <c r="D8" s="434">
        <f>STDEV(AR$52:AR$56)</f>
        <v>0</v>
      </c>
      <c r="E8" s="434">
        <v>0</v>
      </c>
      <c r="F8" s="434">
        <f>AVERAGE(AR$57:AR$61)</f>
        <v>22900</v>
      </c>
      <c r="G8" s="434">
        <f>STDEV(AR$57:AR$61)</f>
        <v>0</v>
      </c>
      <c r="H8" s="434">
        <v>0</v>
      </c>
      <c r="I8" s="434">
        <f>AVERAGE(AR$62:AR$66)</f>
        <v>213700</v>
      </c>
      <c r="J8" s="434">
        <f>STDEV(AR$62:AR$66)</f>
        <v>0</v>
      </c>
      <c r="K8" s="434">
        <v>0</v>
      </c>
      <c r="L8" s="930">
        <v>2.1249415067852131</v>
      </c>
      <c r="M8" s="570">
        <v>0</v>
      </c>
      <c r="N8" s="879">
        <v>0</v>
      </c>
      <c r="O8" s="577">
        <v>0.874</v>
      </c>
      <c r="P8" s="576">
        <v>-0.51700000000000002</v>
      </c>
      <c r="Q8" s="778">
        <v>0.43392875400000003</v>
      </c>
      <c r="R8" s="570">
        <f t="shared" si="0"/>
        <v>0.23343791604634864</v>
      </c>
      <c r="S8" s="781">
        <f>O8*(((1-(2*C46))/(1-C46))^P8)</f>
        <v>1.7873032871730459</v>
      </c>
      <c r="T8" s="781">
        <f>O8*(((1-(2*C47))/(1-C47))^P8)</f>
        <v>1.9318282744459219</v>
      </c>
      <c r="U8" s="781">
        <v>6.6940446957495459E-2</v>
      </c>
      <c r="V8" s="781">
        <v>7.7584540315380535E-2</v>
      </c>
      <c r="W8" s="888">
        <f t="shared" si="1"/>
        <v>1.8542437341305413</v>
      </c>
      <c r="X8" s="570">
        <f t="shared" si="2"/>
        <v>1.1459882364286929</v>
      </c>
      <c r="Y8" s="570">
        <f t="shared" si="3"/>
        <v>0</v>
      </c>
      <c r="Z8" s="570"/>
      <c r="AA8" s="570"/>
      <c r="AB8" s="868">
        <v>19.829694323144103</v>
      </c>
      <c r="AC8" s="571">
        <v>0</v>
      </c>
      <c r="AD8" s="571">
        <v>0</v>
      </c>
      <c r="AE8" s="570"/>
      <c r="AF8" s="570"/>
      <c r="AG8" s="870">
        <v>0.10715956948993917</v>
      </c>
      <c r="AH8" s="871">
        <v>0</v>
      </c>
      <c r="AI8" s="872">
        <v>0</v>
      </c>
      <c r="AJ8" s="577" t="s">
        <v>477</v>
      </c>
      <c r="AL8" s="309" t="s">
        <v>36</v>
      </c>
      <c r="AM8" s="310">
        <v>54.3</v>
      </c>
      <c r="AN8" s="311">
        <v>2646</v>
      </c>
      <c r="AO8" s="311">
        <v>1933</v>
      </c>
      <c r="AP8" s="311">
        <v>184300</v>
      </c>
      <c r="AQ8" s="311">
        <v>506</v>
      </c>
      <c r="AR8" s="372">
        <v>10770</v>
      </c>
      <c r="AS8" s="311">
        <v>10770</v>
      </c>
      <c r="AT8" s="311">
        <v>131</v>
      </c>
      <c r="AU8" s="311">
        <v>323</v>
      </c>
      <c r="AV8" s="311">
        <v>323</v>
      </c>
      <c r="AW8" s="310">
        <v>9.7100000000000009</v>
      </c>
      <c r="AX8" s="310">
        <v>9.7100000000000009</v>
      </c>
      <c r="AY8" s="310">
        <v>32.6</v>
      </c>
      <c r="AZ8" s="310">
        <v>32.6</v>
      </c>
      <c r="BA8" s="310">
        <v>1.81</v>
      </c>
      <c r="BB8" s="310">
        <v>0.92800000000000005</v>
      </c>
      <c r="BC8" s="310">
        <v>0.92800000000000005</v>
      </c>
      <c r="BD8" s="310">
        <v>0.68300000000000005</v>
      </c>
      <c r="BE8" s="310">
        <v>0.14000000000000001</v>
      </c>
      <c r="BF8" s="310">
        <v>0.55600000000000005</v>
      </c>
      <c r="BG8" s="310">
        <v>0.19700000000000001</v>
      </c>
      <c r="BH8" s="310">
        <v>0.55600000000000005</v>
      </c>
      <c r="BI8" s="310">
        <v>1.68</v>
      </c>
      <c r="BJ8" s="310">
        <v>0.13300000000000001</v>
      </c>
      <c r="BK8" s="310">
        <v>9.0300000000000005E-2</v>
      </c>
      <c r="BL8" s="310">
        <v>3.95E-2</v>
      </c>
      <c r="BM8" s="310">
        <v>0.50600000000000001</v>
      </c>
      <c r="BN8" s="310">
        <v>0.48</v>
      </c>
      <c r="BO8" s="310">
        <v>0.98199999999999998</v>
      </c>
      <c r="BP8" s="310">
        <v>0.14799999999999999</v>
      </c>
      <c r="BQ8" s="310">
        <v>2.5299999999999998</v>
      </c>
      <c r="BR8" s="310">
        <v>0.111</v>
      </c>
      <c r="BS8" s="307"/>
      <c r="BT8" s="307"/>
      <c r="BU8" s="307"/>
      <c r="BV8" s="307"/>
      <c r="BW8" s="307"/>
    </row>
    <row r="9" spans="1:75" ht="17">
      <c r="A9" s="577" t="s">
        <v>313</v>
      </c>
      <c r="B9" s="577" t="s">
        <v>475</v>
      </c>
      <c r="C9" s="405" t="e">
        <f>AVERAGE(AS$52:AS$56)</f>
        <v>#DIV/0!</v>
      </c>
      <c r="D9" s="405" t="e">
        <f>STDEV(AS$52:AS$56)</f>
        <v>#DIV/0!</v>
      </c>
      <c r="E9" s="405" t="e">
        <v>#DIV/0!</v>
      </c>
      <c r="F9" s="405" t="e">
        <f>AVERAGE(AS$57:AS$61)</f>
        <v>#DIV/0!</v>
      </c>
      <c r="G9" s="405" t="e">
        <f>STDEV(AS$57:AS$61)</f>
        <v>#DIV/0!</v>
      </c>
      <c r="H9" s="405" t="e">
        <v>#DIV/0!</v>
      </c>
      <c r="I9" s="434">
        <f>AVERAGE(AS$62:AS$66)</f>
        <v>375523.89776547556</v>
      </c>
      <c r="J9" s="434">
        <f>STDEV(AS$62:AS$66)</f>
        <v>6078.093475835024</v>
      </c>
      <c r="K9" s="434">
        <v>12156.186951670048</v>
      </c>
      <c r="L9" s="1331" t="e">
        <v>#DIV/0!</v>
      </c>
      <c r="M9" s="573" t="e">
        <v>#DIV/0!</v>
      </c>
      <c r="N9" s="864" t="e">
        <v>#DIV/0!</v>
      </c>
      <c r="O9" s="577">
        <v>0.874</v>
      </c>
      <c r="P9" s="576">
        <v>-0.52</v>
      </c>
      <c r="Q9" s="778">
        <v>0.43392875400000003</v>
      </c>
      <c r="R9" s="570">
        <f t="shared" si="0"/>
        <v>0.23343791604634864</v>
      </c>
      <c r="S9" s="781">
        <f>O9*(((1-(2*C46))/(1-C46))^P9)</f>
        <v>1.794738085811131</v>
      </c>
      <c r="T9" s="781">
        <f>O9*(((1-(2*C47))/(1-C47))^P9)</f>
        <v>1.9407397540280338</v>
      </c>
      <c r="U9" s="781">
        <v>6.7616213771485967E-2</v>
      </c>
      <c r="V9" s="781">
        <v>7.838545444541678E-2</v>
      </c>
      <c r="W9" s="888">
        <f t="shared" si="1"/>
        <v>1.862354299582617</v>
      </c>
      <c r="X9" s="570" t="e">
        <f t="shared" si="2"/>
        <v>#DIV/0!</v>
      </c>
      <c r="Y9" s="570" t="e">
        <f t="shared" si="3"/>
        <v>#DIV/0!</v>
      </c>
      <c r="Z9" s="570"/>
      <c r="AA9" s="570"/>
      <c r="AB9" s="868" t="e">
        <v>#DIV/0!</v>
      </c>
      <c r="AC9" s="571" t="e">
        <v>#DIV/0!</v>
      </c>
      <c r="AD9" s="571" t="e">
        <v>#DIV/0!</v>
      </c>
      <c r="AE9" s="570"/>
      <c r="AF9" s="570"/>
      <c r="AG9" s="870" t="e">
        <v>#DIV/0!</v>
      </c>
      <c r="AH9" s="871" t="e">
        <v>#DIV/0!</v>
      </c>
      <c r="AI9" s="872" t="e">
        <v>#DIV/0!</v>
      </c>
      <c r="AJ9" s="577" t="s">
        <v>475</v>
      </c>
      <c r="AL9" s="309" t="s">
        <v>1400</v>
      </c>
      <c r="AM9" s="310">
        <v>6.1599780758061469</v>
      </c>
      <c r="AN9" s="310">
        <v>0.14656827235903561</v>
      </c>
      <c r="AO9" s="310">
        <v>-2.5125711663871169</v>
      </c>
      <c r="AP9" s="310">
        <v>22.391130919411463</v>
      </c>
      <c r="AQ9" s="310">
        <v>0.27201520894687997</v>
      </c>
      <c r="AR9" s="371">
        <v>1.8668467174719559</v>
      </c>
      <c r="AS9" s="310">
        <v>7.7891610470970951</v>
      </c>
      <c r="AT9" s="310">
        <v>3.3723336962621787E-2</v>
      </c>
      <c r="AU9" s="310">
        <v>6.0484262569977305E-2</v>
      </c>
      <c r="AV9" s="310">
        <v>0.13648107616995725</v>
      </c>
      <c r="AW9" s="793">
        <v>8.8967215714745931E-3</v>
      </c>
      <c r="AX9" s="310">
        <v>2.2977765144046387E-2</v>
      </c>
      <c r="AY9" s="793">
        <v>0.35954478804896206</v>
      </c>
      <c r="AZ9" s="310">
        <v>0.6075742983462038</v>
      </c>
      <c r="BA9" s="310">
        <v>9.2063410247300456E-2</v>
      </c>
      <c r="BB9" s="793">
        <v>6.3785563505577333E-2</v>
      </c>
      <c r="BC9" s="310">
        <v>0.11494228192815799</v>
      </c>
      <c r="BD9" s="310">
        <v>2.1152720869598393E-2</v>
      </c>
      <c r="BE9" s="310">
        <v>2.960413437430491E-3</v>
      </c>
      <c r="BF9" s="310">
        <v>1.5746533014403846E-2</v>
      </c>
      <c r="BG9" s="310">
        <v>-0.61421389598775067</v>
      </c>
      <c r="BH9" s="792">
        <v>4.5317064923391963E-3</v>
      </c>
      <c r="BI9" s="310"/>
      <c r="BJ9" s="310"/>
      <c r="BK9" s="310">
        <v>2.0132390442221836E-3</v>
      </c>
      <c r="BL9" s="1377">
        <v>2.6013739214205212E-3</v>
      </c>
      <c r="BM9" s="308">
        <v>0</v>
      </c>
      <c r="BN9" s="1377">
        <v>1.3649215164637963E-3</v>
      </c>
      <c r="BO9" s="1377">
        <v>5.8077109293382893E-3</v>
      </c>
      <c r="BP9" s="310">
        <v>2.0537122069796639E-2</v>
      </c>
      <c r="BQ9" s="310"/>
      <c r="BR9" s="310"/>
      <c r="BS9" s="307"/>
      <c r="BT9" s="307"/>
      <c r="BU9" s="307"/>
      <c r="BV9" s="307"/>
      <c r="BW9" s="307"/>
    </row>
    <row r="10" spans="1:75" ht="17">
      <c r="A10" s="435" t="s">
        <v>839</v>
      </c>
      <c r="B10" s="435" t="s">
        <v>9</v>
      </c>
      <c r="C10" s="1453">
        <f>AVERAGE(AT$52:AT$56)</f>
        <v>324.95024242800707</v>
      </c>
      <c r="D10" s="434">
        <f>STDEV(AT$52:AT$56)</f>
        <v>19.747134262193988</v>
      </c>
      <c r="E10" s="1453">
        <v>39.494268524387977</v>
      </c>
      <c r="F10" s="1453">
        <f>AVERAGE(AT$57:AT$61)</f>
        <v>238.75381816527792</v>
      </c>
      <c r="G10" s="434">
        <f>STDEV(AT$57:AT$61)</f>
        <v>55.855637583463754</v>
      </c>
      <c r="H10" s="1453">
        <v>111.71127516692751</v>
      </c>
      <c r="I10" s="1453">
        <f>AVERAGE(AT$62:AT$66)</f>
        <v>1367.4161831172537</v>
      </c>
      <c r="J10" s="434">
        <f>STDEV(AT$62:AT$66)</f>
        <v>150.80067916784043</v>
      </c>
      <c r="K10" s="1453">
        <v>301.60135833568086</v>
      </c>
      <c r="L10" s="930">
        <v>0.23763814297358152</v>
      </c>
      <c r="M10" s="570">
        <v>2.9922561486571977E-2</v>
      </c>
      <c r="N10" s="1497">
        <v>5.9845122973143955E-2</v>
      </c>
      <c r="O10" s="435">
        <v>0.77</v>
      </c>
      <c r="P10" s="433">
        <v>1.39</v>
      </c>
      <c r="Q10" s="778">
        <v>0.43392875400000003</v>
      </c>
      <c r="R10" s="570">
        <f t="shared" si="0"/>
        <v>0.23343791604634864</v>
      </c>
      <c r="S10" s="1358">
        <f>O10*(((1-(2*C47))/(1-C47))^P10)</f>
        <v>9.1282502109540323E-2</v>
      </c>
      <c r="T10" s="1358">
        <f>O10*(((1-(2*C46))/(1-C46))^P10)</f>
        <v>0.11250760060254072</v>
      </c>
      <c r="U10" s="1358">
        <v>1.0635046161251396E-2</v>
      </c>
      <c r="V10" s="1358">
        <v>1.0590052331749006E-2</v>
      </c>
      <c r="W10" s="888">
        <f t="shared" si="1"/>
        <v>0.10191754827079172</v>
      </c>
      <c r="X10" s="570">
        <f t="shared" si="2"/>
        <v>2.3316705219613842</v>
      </c>
      <c r="Y10" s="570">
        <f t="shared" si="3"/>
        <v>0.29359577417491117</v>
      </c>
      <c r="Z10" s="570"/>
      <c r="AA10" s="570"/>
      <c r="AB10" s="885">
        <v>1.3610263698612748</v>
      </c>
      <c r="AC10" s="570">
        <v>0.32897434121207131</v>
      </c>
      <c r="AD10" s="573">
        <v>0.65794868242414262</v>
      </c>
      <c r="AE10" s="570"/>
      <c r="AF10" s="570"/>
      <c r="AG10" s="873">
        <v>0.17460215924971628</v>
      </c>
      <c r="AH10" s="573">
        <v>4.5158546912012577E-2</v>
      </c>
      <c r="AI10" s="864">
        <v>9.0317093824025155E-2</v>
      </c>
      <c r="AJ10" s="435" t="s">
        <v>9</v>
      </c>
      <c r="AL10" s="797" t="s">
        <v>1399</v>
      </c>
      <c r="AM10" s="798">
        <v>63.24231290457579</v>
      </c>
      <c r="AN10" s="798">
        <v>0.17759968838276999</v>
      </c>
      <c r="AO10" s="798">
        <v>-3.9028135391019099</v>
      </c>
      <c r="AP10" s="798">
        <v>29.00883359858873</v>
      </c>
      <c r="AQ10" s="798">
        <v>0.36107094955365043</v>
      </c>
      <c r="AR10" s="799">
        <v>3.2443461339079223</v>
      </c>
      <c r="AS10" s="798">
        <v>10.229287732807165</v>
      </c>
      <c r="AT10" s="798">
        <v>4.4040020146951207E-2</v>
      </c>
      <c r="AU10" s="798">
        <v>9.0132277285432383E-2</v>
      </c>
      <c r="AV10" s="798">
        <v>-3.5421710007291014</v>
      </c>
      <c r="AW10" s="798">
        <v>1.3036633212627312E-2</v>
      </c>
      <c r="AX10" s="798">
        <v>3.2917561133233825E-2</v>
      </c>
      <c r="AY10" s="798">
        <v>0.46779259119253574</v>
      </c>
      <c r="AZ10" s="798">
        <v>0.81571096263384624</v>
      </c>
      <c r="BA10" s="798">
        <v>0.10994201816215396</v>
      </c>
      <c r="BB10" s="798">
        <v>8.8760623330656707E-2</v>
      </c>
      <c r="BC10" s="798">
        <v>0.11292180751854154</v>
      </c>
      <c r="BD10" s="798">
        <v>1.0230467197490047E-2</v>
      </c>
      <c r="BE10" s="798">
        <v>4.7324191258291915E-3</v>
      </c>
      <c r="BF10" s="798">
        <v>1.5993722913045093E-2</v>
      </c>
      <c r="BG10" s="798">
        <v>-0.65925215822045746</v>
      </c>
      <c r="BH10" s="798">
        <v>1.7330762836472641E-2</v>
      </c>
      <c r="BI10" s="798"/>
      <c r="BJ10" s="798"/>
      <c r="BK10" s="798">
        <v>7.2936433812792814E-3</v>
      </c>
      <c r="BL10" s="1381">
        <v>2.5208779617262389E-3</v>
      </c>
      <c r="BM10" s="1381">
        <v>8.3899841963949017E-3</v>
      </c>
      <c r="BN10" s="1381">
        <v>4.6883432170219796E-3</v>
      </c>
      <c r="BO10" s="1381">
        <v>9.1981063740283579E-3</v>
      </c>
      <c r="BP10" s="798">
        <v>2.1994812108219179E-2</v>
      </c>
      <c r="BQ10" s="798"/>
      <c r="BR10" s="798"/>
      <c r="BS10" s="307"/>
      <c r="BT10" s="307"/>
      <c r="BU10" s="307"/>
      <c r="BV10" s="307"/>
      <c r="BW10" s="307"/>
    </row>
    <row r="11" spans="1:75" ht="17">
      <c r="A11" s="435" t="s">
        <v>313</v>
      </c>
      <c r="B11" s="435" t="s">
        <v>468</v>
      </c>
      <c r="C11" s="1453">
        <f>AVERAGE(AU$52:AU$56)</f>
        <v>132.8458868227512</v>
      </c>
      <c r="D11" s="434">
        <f>STDEV(AU$52:AU$56)</f>
        <v>14.48909779115422</v>
      </c>
      <c r="E11" s="1453">
        <v>28.978195582308441</v>
      </c>
      <c r="F11" s="1453">
        <f>AVERAGE(AU$57:AU$61)</f>
        <v>353.17723351754</v>
      </c>
      <c r="G11" s="434">
        <f>STDEV(AU$57:AU$61)</f>
        <v>104.63024822340144</v>
      </c>
      <c r="H11" s="1453">
        <v>209.26049644680288</v>
      </c>
      <c r="I11" s="1453">
        <f>AVERAGE(AU$62:AU$66)</f>
        <v>313.89652980839992</v>
      </c>
      <c r="J11" s="434">
        <f>STDEV(AU$62:AU$66)</f>
        <v>45.313582229275028</v>
      </c>
      <c r="K11" s="1453">
        <v>90.627164458550055</v>
      </c>
      <c r="L11" s="930">
        <v>0.42321553189466393</v>
      </c>
      <c r="M11" s="570">
        <v>7.657153086639229E-2</v>
      </c>
      <c r="N11" s="879">
        <v>0.15314306173278458</v>
      </c>
      <c r="O11" s="435">
        <v>0.66</v>
      </c>
      <c r="P11" s="433">
        <v>0.99</v>
      </c>
      <c r="Q11" s="778">
        <v>0.43392875400000003</v>
      </c>
      <c r="R11" s="570">
        <f t="shared" si="0"/>
        <v>0.23343791604634864</v>
      </c>
      <c r="S11" s="1358">
        <f>O11*(((1-(2*C47))/(1-C47))^P11)</f>
        <v>0.14452575977014967</v>
      </c>
      <c r="T11" s="1358">
        <f>O11*(((1-(2*C46))/(1-C46))^P11)</f>
        <v>0.16773037741681884</v>
      </c>
      <c r="U11" s="1358">
        <v>1.1801105414677104E-2</v>
      </c>
      <c r="V11" s="1358">
        <v>1.1403512231992069E-2</v>
      </c>
      <c r="W11" s="888">
        <f t="shared" si="1"/>
        <v>0.15632686518482677</v>
      </c>
      <c r="X11" s="570">
        <f t="shared" si="2"/>
        <v>2.7072476083640011</v>
      </c>
      <c r="Y11" s="570">
        <f t="shared" si="3"/>
        <v>0.48981683842928098</v>
      </c>
      <c r="Z11" s="570"/>
      <c r="AA11" s="570"/>
      <c r="AB11" s="885">
        <v>0.37614510284155567</v>
      </c>
      <c r="AC11" s="570">
        <v>0.11874643531401199</v>
      </c>
      <c r="AD11" s="573">
        <v>0.23749287062802399</v>
      </c>
      <c r="AE11" s="570"/>
      <c r="AF11" s="570"/>
      <c r="AG11" s="873">
        <v>1.125139018685924</v>
      </c>
      <c r="AH11" s="573">
        <v>0.37079416405460436</v>
      </c>
      <c r="AI11" s="864">
        <v>0.74158832810920872</v>
      </c>
      <c r="AJ11" s="435" t="s">
        <v>468</v>
      </c>
      <c r="AL11" s="396" t="s">
        <v>1063</v>
      </c>
      <c r="AM11" s="401">
        <v>69145.707651143806</v>
      </c>
      <c r="AN11" s="401">
        <v>202.23991210542346</v>
      </c>
      <c r="AO11" s="490" t="s">
        <v>1062</v>
      </c>
      <c r="AP11" s="490" t="s">
        <v>1061</v>
      </c>
      <c r="AQ11" s="401">
        <v>418.424573515899</v>
      </c>
      <c r="AR11" s="408">
        <v>459</v>
      </c>
      <c r="AS11" s="490" t="s">
        <v>1060</v>
      </c>
      <c r="AT11" s="401">
        <v>442.33885388789378</v>
      </c>
      <c r="AU11" s="401">
        <v>129.34519631729648</v>
      </c>
      <c r="AV11" s="401">
        <v>89.218098627044171</v>
      </c>
      <c r="AW11" s="401">
        <v>383.29460261761704</v>
      </c>
      <c r="AX11" s="401">
        <v>338.31215078884139</v>
      </c>
      <c r="AY11" s="401">
        <v>320.87601449692926</v>
      </c>
      <c r="AZ11" s="401">
        <v>349.21817224153466</v>
      </c>
      <c r="BA11" s="401">
        <v>220.87244915720504</v>
      </c>
      <c r="BB11" s="401">
        <v>397.00993271975017</v>
      </c>
      <c r="BC11" s="401">
        <v>348.23707698709296</v>
      </c>
      <c r="BD11" s="401">
        <v>0</v>
      </c>
      <c r="BE11" s="400">
        <v>0.83980764798080854</v>
      </c>
      <c r="BF11" s="402">
        <v>4.0325225776507914</v>
      </c>
      <c r="BG11" s="401">
        <v>8234.7330375918482</v>
      </c>
      <c r="BH11" s="402">
        <v>4.2160886599041838</v>
      </c>
      <c r="BI11" s="400"/>
      <c r="BJ11" s="400"/>
      <c r="BK11" s="401">
        <v>423.76097628844525</v>
      </c>
      <c r="BL11" s="401">
        <v>41.195527086681849</v>
      </c>
      <c r="BM11" s="400">
        <v>4.6337762694988814E-2</v>
      </c>
      <c r="BN11" s="400">
        <v>6.5447905111900517E-2</v>
      </c>
      <c r="BO11" s="402">
        <v>5.1028033539231448</v>
      </c>
      <c r="BP11" s="401">
        <v>18.832971378092662</v>
      </c>
      <c r="BQ11" s="400"/>
      <c r="BR11" s="400"/>
      <c r="BS11" s="398"/>
      <c r="BT11" s="394">
        <v>43.451002120971694</v>
      </c>
      <c r="BU11" s="399">
        <v>2.2825020943061043</v>
      </c>
      <c r="BV11" s="398"/>
      <c r="BW11" s="398" t="s">
        <v>1059</v>
      </c>
    </row>
    <row r="12" spans="1:75" ht="18" thickBot="1">
      <c r="A12" s="435" t="s">
        <v>313</v>
      </c>
      <c r="B12" s="435" t="s">
        <v>461</v>
      </c>
      <c r="C12" s="434">
        <f>AVERAGE(AV$52:AV$56)</f>
        <v>114.63457818024804</v>
      </c>
      <c r="D12" s="434">
        <f>STDEV(AV$52:AV$56)</f>
        <v>17.197287203468413</v>
      </c>
      <c r="E12" s="434">
        <v>34.394574406936826</v>
      </c>
      <c r="F12" s="434">
        <f>AVERAGE(AV$57:AV$61)</f>
        <v>314.80101633748893</v>
      </c>
      <c r="G12" s="434">
        <f>STDEV(AV$57:AV$61)</f>
        <v>103.68817295923304</v>
      </c>
      <c r="H12" s="434">
        <v>207.37634591846609</v>
      </c>
      <c r="I12" s="434">
        <f>AVERAGE(AV$62:AV$66)</f>
        <v>272.37021128761381</v>
      </c>
      <c r="J12" s="434">
        <f>STDEV(AV$62:AV$66)</f>
        <v>44.391236369572738</v>
      </c>
      <c r="K12" s="434">
        <v>88.782472739145476</v>
      </c>
      <c r="L12" s="930">
        <v>0.42087781052971968</v>
      </c>
      <c r="M12" s="570">
        <v>9.3230262352059265E-2</v>
      </c>
      <c r="N12" s="879">
        <v>0.18646052470411853</v>
      </c>
      <c r="O12" s="435">
        <v>0.66</v>
      </c>
      <c r="P12" s="433">
        <v>0.99</v>
      </c>
      <c r="Q12" s="778">
        <v>0.43392875400000003</v>
      </c>
      <c r="R12" s="570">
        <f t="shared" si="0"/>
        <v>0.23343791604634864</v>
      </c>
      <c r="S12" s="800">
        <f>O12*(((1-(2*C47))/(1-C47))^P12)</f>
        <v>0.14452575977014967</v>
      </c>
      <c r="T12" s="800">
        <f>O12*(((1-(2*C46))/(1-C46))^P12)</f>
        <v>0.16773037741681884</v>
      </c>
      <c r="U12" s="800">
        <v>1.1801105414677104E-2</v>
      </c>
      <c r="V12" s="800">
        <v>1.1403512231992069E-2</v>
      </c>
      <c r="W12" s="888">
        <f t="shared" si="1"/>
        <v>0.15632686518482677</v>
      </c>
      <c r="X12" s="570">
        <f t="shared" si="2"/>
        <v>2.6922935480866435</v>
      </c>
      <c r="Y12" s="570">
        <f t="shared" si="3"/>
        <v>0.59638029740973963</v>
      </c>
      <c r="Z12" s="570"/>
      <c r="AA12" s="570"/>
      <c r="AB12" s="885">
        <v>0.3641493268158692</v>
      </c>
      <c r="AC12" s="570">
        <v>0.13179721677187714</v>
      </c>
      <c r="AD12" s="573">
        <v>0.26359443354375428</v>
      </c>
      <c r="AE12" s="570"/>
      <c r="AF12" s="570"/>
      <c r="AG12" s="873">
        <v>1.1557835743097089</v>
      </c>
      <c r="AH12" s="573">
        <v>0.42474379298090492</v>
      </c>
      <c r="AI12" s="864">
        <v>0.84948758596180984</v>
      </c>
      <c r="AJ12" s="435" t="s">
        <v>461</v>
      </c>
      <c r="AL12" s="396" t="s">
        <v>1058</v>
      </c>
      <c r="AM12" s="401">
        <v>72104.744444250202</v>
      </c>
      <c r="AN12" s="401">
        <v>214.30731321517669</v>
      </c>
      <c r="AO12" s="490" t="s">
        <v>1057</v>
      </c>
      <c r="AP12" s="490" t="s">
        <v>1056</v>
      </c>
      <c r="AQ12" s="401">
        <v>433.99025578181039</v>
      </c>
      <c r="AR12" s="408">
        <v>459</v>
      </c>
      <c r="AS12" s="490" t="s">
        <v>1055</v>
      </c>
      <c r="AT12" s="401">
        <v>420.82277749951925</v>
      </c>
      <c r="AU12" s="401">
        <v>135.30090618523985</v>
      </c>
      <c r="AV12" s="401">
        <v>90.464747604200056</v>
      </c>
      <c r="AW12" s="401">
        <v>408.29707509467477</v>
      </c>
      <c r="AX12" s="401">
        <v>362.608731942269</v>
      </c>
      <c r="AY12" s="401">
        <v>340.20561408001277</v>
      </c>
      <c r="AZ12" s="401">
        <v>380.23839565466631</v>
      </c>
      <c r="BA12" s="401">
        <v>268.65549017955709</v>
      </c>
      <c r="BB12" s="401">
        <v>427.32567742147262</v>
      </c>
      <c r="BC12" s="401">
        <v>366.79120504824425</v>
      </c>
      <c r="BD12" s="401">
        <v>0</v>
      </c>
      <c r="BE12" s="402">
        <v>1.0774362964363284</v>
      </c>
      <c r="BF12" s="402">
        <v>3.4298856734547156</v>
      </c>
      <c r="BG12" s="401">
        <v>10355.400357572435</v>
      </c>
      <c r="BH12" s="402">
        <v>4.4101309263941557</v>
      </c>
      <c r="BI12" s="400"/>
      <c r="BJ12" s="400"/>
      <c r="BK12" s="401">
        <v>407.9478893115616</v>
      </c>
      <c r="BL12" s="401">
        <v>48.796084687589861</v>
      </c>
      <c r="BM12" s="400">
        <v>1.3716201520939565E-2</v>
      </c>
      <c r="BN12" s="400">
        <v>6.3662343636072094E-2</v>
      </c>
      <c r="BO12" s="402">
        <v>3.4735770033100049</v>
      </c>
      <c r="BP12" s="401">
        <v>21.603796979177357</v>
      </c>
      <c r="BQ12" s="400"/>
      <c r="BR12" s="400"/>
      <c r="BS12" s="398"/>
      <c r="BT12" s="394">
        <v>44.809001922607393</v>
      </c>
      <c r="BU12" s="399">
        <v>2.4804996472373495</v>
      </c>
      <c r="BV12" s="398"/>
      <c r="BW12" s="398" t="s">
        <v>1054</v>
      </c>
    </row>
    <row r="13" spans="1:75" ht="17">
      <c r="A13" s="435" t="s">
        <v>313</v>
      </c>
      <c r="B13" s="435" t="s">
        <v>457</v>
      </c>
      <c r="C13" s="1453">
        <f>AVERAGE(AW$52:AW$56)</f>
        <v>155.9739926761041</v>
      </c>
      <c r="D13" s="434">
        <f>STDEV(AW$52:AW$56)</f>
        <v>10.839823886394207</v>
      </c>
      <c r="E13" s="1453">
        <v>21.679647772788414</v>
      </c>
      <c r="F13" s="1558">
        <f>AVERAGE(AW$57:AW$61)</f>
        <v>7.7929259683137655</v>
      </c>
      <c r="G13" s="802">
        <f>STDEV(AW$57:AW$61)</f>
        <v>7.1708037044889323</v>
      </c>
      <c r="H13" s="1558">
        <v>14.341607408977865</v>
      </c>
      <c r="I13" s="1440">
        <f>AVERAGE(AW$62:AW$66)</f>
        <v>1.6969497362146619</v>
      </c>
      <c r="J13" s="434">
        <f>STDEV(AW$62:AW$66)</f>
        <v>0.81186397333735361</v>
      </c>
      <c r="K13" s="1440">
        <v>1.6237279466747072</v>
      </c>
      <c r="L13" s="930">
        <v>91.914326834471183</v>
      </c>
      <c r="M13" s="570">
        <v>44.435691215439995</v>
      </c>
      <c r="N13" s="879">
        <v>88.87138243087999</v>
      </c>
      <c r="O13" s="435">
        <v>0.76</v>
      </c>
      <c r="P13" s="433">
        <v>-2.81</v>
      </c>
      <c r="Q13" s="778">
        <v>0.43392875400000003</v>
      </c>
      <c r="R13" s="570">
        <f t="shared" si="0"/>
        <v>0.23343791604634864</v>
      </c>
      <c r="S13" s="570" cm="1">
        <f t="array" ref="S13:S22">O13:O22*(((1-(2*C46))/(1-C46))^P13:P22)</f>
        <v>37.107317985727775</v>
      </c>
      <c r="T13" s="570" cm="1">
        <f t="array" ref="T13:T22">O13:O22*(((1-(2*C47))/(1-C47))^P13:P22)</f>
        <v>56.624947131812775</v>
      </c>
      <c r="U13" s="570">
        <v>8.2087234517424577</v>
      </c>
      <c r="V13" s="570">
        <v>11.308905694342542</v>
      </c>
      <c r="W13" s="888">
        <f t="shared" si="1"/>
        <v>45.316041437470233</v>
      </c>
      <c r="X13" s="573">
        <f t="shared" si="2"/>
        <v>2.0282955862616561</v>
      </c>
      <c r="Y13" s="570">
        <f t="shared" si="3"/>
        <v>0.98057309963305161</v>
      </c>
      <c r="Z13" s="570"/>
      <c r="AA13" s="570"/>
      <c r="AB13" s="868">
        <v>20.01481770907337</v>
      </c>
      <c r="AC13" s="571">
        <v>18.469455199132032</v>
      </c>
      <c r="AD13" s="571">
        <v>36.938910398264063</v>
      </c>
      <c r="AE13" s="1475">
        <f>AVERAGE(AW57,AW58, AW60,AW61)/I13</f>
        <v>4.5923139631096124</v>
      </c>
      <c r="AF13" s="570"/>
      <c r="AG13" s="868">
        <v>4.5923139631096124</v>
      </c>
      <c r="AH13" s="571">
        <v>4.7627425717286505</v>
      </c>
      <c r="AI13" s="862">
        <v>9.5254851434573009</v>
      </c>
      <c r="AJ13" s="435" t="s">
        <v>457</v>
      </c>
      <c r="AL13" s="432" t="s">
        <v>43</v>
      </c>
      <c r="AM13" s="430" t="s">
        <v>1053</v>
      </c>
      <c r="AN13" s="427">
        <v>22.675755520919044</v>
      </c>
      <c r="AO13" s="428">
        <v>8.5133889424268254</v>
      </c>
      <c r="AP13" s="427">
        <v>956383.59878804989</v>
      </c>
      <c r="AQ13" s="427">
        <v>4798.3782121094519</v>
      </c>
      <c r="AR13" s="431">
        <v>55500</v>
      </c>
      <c r="AS13" s="427">
        <v>57205.941877661811</v>
      </c>
      <c r="AT13" s="427">
        <v>152.07080202068022</v>
      </c>
      <c r="AU13" s="430" t="s">
        <v>1052</v>
      </c>
      <c r="AV13" s="430" t="s">
        <v>1051</v>
      </c>
      <c r="AW13" s="427">
        <v>60.093699551658744</v>
      </c>
      <c r="AX13" s="427">
        <v>59.339099023764334</v>
      </c>
      <c r="AY13" s="427">
        <v>183.80360106558237</v>
      </c>
      <c r="AZ13" s="427">
        <v>182.46053869202532</v>
      </c>
      <c r="BA13" s="430" t="s">
        <v>1050</v>
      </c>
      <c r="BB13" s="428">
        <v>6.6582722401614545</v>
      </c>
      <c r="BC13" s="428">
        <v>6.3899714144300637</v>
      </c>
      <c r="BD13" s="427">
        <v>21.411555345890637</v>
      </c>
      <c r="BE13" s="428">
        <v>2.1850772148933788</v>
      </c>
      <c r="BF13" s="428">
        <v>1.4528323030101886</v>
      </c>
      <c r="BG13" s="428">
        <v>1.9995852200712108</v>
      </c>
      <c r="BH13" s="428">
        <v>1.4178644334510144</v>
      </c>
      <c r="BI13" s="425"/>
      <c r="BJ13" s="425"/>
      <c r="BK13" s="428">
        <v>2.9448880234969428</v>
      </c>
      <c r="BL13" s="428">
        <v>1.1655755670074854</v>
      </c>
      <c r="BM13" s="427">
        <v>9.9712111948854272</v>
      </c>
      <c r="BN13" s="427">
        <v>16.009596872990585</v>
      </c>
      <c r="BO13" s="427">
        <v>31.74968505917327</v>
      </c>
      <c r="BP13" s="430" t="s">
        <v>308</v>
      </c>
      <c r="BQ13" s="425"/>
      <c r="BR13" s="425"/>
      <c r="BS13" s="422"/>
      <c r="BT13" s="424">
        <v>46.166002273559599</v>
      </c>
      <c r="BU13" s="423">
        <v>0.97913354371563266</v>
      </c>
      <c r="BV13" s="422"/>
      <c r="BW13" s="421" t="s">
        <v>1048</v>
      </c>
    </row>
    <row r="14" spans="1:75" ht="19" customHeight="1" thickBot="1">
      <c r="A14" s="435" t="s">
        <v>313</v>
      </c>
      <c r="B14" s="435" t="s">
        <v>832</v>
      </c>
      <c r="C14" s="434">
        <f>AVERAGE(AX$52:AX$56)</f>
        <v>174.1161022449362</v>
      </c>
      <c r="D14" s="434">
        <f>STDEV(AX$52:AX$56)</f>
        <v>7.4374638001006446</v>
      </c>
      <c r="E14" s="434">
        <v>14.874927600201289</v>
      </c>
      <c r="F14" s="405">
        <f>AVERAGE(AX$57:AX$61)</f>
        <v>7.2248500928213772</v>
      </c>
      <c r="G14" s="405">
        <f>STDEV(AX$57:AX$61)</f>
        <v>8.5109158657756172</v>
      </c>
      <c r="H14" s="405">
        <v>17.021831731551234</v>
      </c>
      <c r="I14" s="405">
        <f>AVERAGE(AX$62:AX$66)</f>
        <v>1.5646306496796289</v>
      </c>
      <c r="J14" s="405">
        <f>STDEV(AX$62:AX$66)</f>
        <v>1.0695631263734215</v>
      </c>
      <c r="K14" s="405">
        <v>2.1391262527468431</v>
      </c>
      <c r="L14" s="1323">
        <v>111.28255878190032</v>
      </c>
      <c r="M14" s="571">
        <v>76.219821211215077</v>
      </c>
      <c r="N14" s="862">
        <v>152.43964242243015</v>
      </c>
      <c r="O14" s="435">
        <v>0.76</v>
      </c>
      <c r="P14" s="433">
        <v>-2.81</v>
      </c>
      <c r="Q14" s="778">
        <v>0.43392875400000003</v>
      </c>
      <c r="R14" s="570">
        <f t="shared" si="0"/>
        <v>0.23343791604634864</v>
      </c>
      <c r="S14" s="570">
        <v>37.107317985727775</v>
      </c>
      <c r="T14" s="570">
        <v>56.624947131812775</v>
      </c>
      <c r="U14" s="570">
        <v>8.2087234517424577</v>
      </c>
      <c r="V14" s="570">
        <v>11.308905694342542</v>
      </c>
      <c r="W14" s="888">
        <f t="shared" si="1"/>
        <v>45.316041437470233</v>
      </c>
      <c r="X14" s="573">
        <f t="shared" si="2"/>
        <v>2.4556990251554653</v>
      </c>
      <c r="Y14" s="570">
        <f t="shared" si="3"/>
        <v>1.6819611509179972</v>
      </c>
      <c r="Z14" s="570"/>
      <c r="AA14" s="570"/>
      <c r="AB14" s="868">
        <v>24.099614525973106</v>
      </c>
      <c r="AC14" s="571">
        <v>28.408145390893083</v>
      </c>
      <c r="AD14" s="571">
        <v>56.816290781786165</v>
      </c>
      <c r="AE14" s="570"/>
      <c r="AF14" s="570"/>
      <c r="AG14" s="868">
        <v>4.6176074169969281</v>
      </c>
      <c r="AH14" s="571">
        <v>6.2890910160712039</v>
      </c>
      <c r="AI14" s="862">
        <v>12.578182032142408</v>
      </c>
      <c r="AJ14" s="435" t="s">
        <v>832</v>
      </c>
      <c r="AL14" s="420" t="s">
        <v>45</v>
      </c>
      <c r="AM14" s="418" t="s">
        <v>1049</v>
      </c>
      <c r="AN14" s="414">
        <v>23.741814599827212</v>
      </c>
      <c r="AO14" s="414">
        <v>11.719083340866561</v>
      </c>
      <c r="AP14" s="414">
        <v>934602.38474775513</v>
      </c>
      <c r="AQ14" s="414">
        <v>4485.5290168230113</v>
      </c>
      <c r="AR14" s="419">
        <v>55500</v>
      </c>
      <c r="AS14" s="414">
        <v>53792.940830650856</v>
      </c>
      <c r="AT14" s="414">
        <v>140.56359882451974</v>
      </c>
      <c r="AU14" s="418" t="s">
        <v>79</v>
      </c>
      <c r="AV14" s="418" t="s">
        <v>204</v>
      </c>
      <c r="AW14" s="414">
        <v>56.953964545443561</v>
      </c>
      <c r="AX14" s="414">
        <v>57.710744286997745</v>
      </c>
      <c r="AY14" s="414">
        <v>173.37925249861104</v>
      </c>
      <c r="AZ14" s="414">
        <v>174.7184032558234</v>
      </c>
      <c r="BA14" s="415">
        <v>4.7554878316639906</v>
      </c>
      <c r="BB14" s="415">
        <v>6.2552501705299992</v>
      </c>
      <c r="BC14" s="415">
        <v>6.5270220227385654</v>
      </c>
      <c r="BD14" s="414">
        <v>18.940536415138276</v>
      </c>
      <c r="BE14" s="415">
        <v>2.0521388023305467</v>
      </c>
      <c r="BF14" s="415">
        <v>1.4332421749915998</v>
      </c>
      <c r="BG14" s="416">
        <v>-0.50577175859391554</v>
      </c>
      <c r="BH14" s="415">
        <v>1.468782312732912</v>
      </c>
      <c r="BI14" s="413"/>
      <c r="BJ14" s="413"/>
      <c r="BK14" s="415">
        <v>2.8071883788110439</v>
      </c>
      <c r="BL14" s="415">
        <v>1.1352284667035635</v>
      </c>
      <c r="BM14" s="415">
        <v>9.0812878494925506</v>
      </c>
      <c r="BN14" s="414">
        <v>14.46311432167203</v>
      </c>
      <c r="BO14" s="414">
        <v>28.995895317724884</v>
      </c>
      <c r="BP14" s="413">
        <v>0.6788940485174314</v>
      </c>
      <c r="BQ14" s="413"/>
      <c r="BR14" s="413"/>
      <c r="BS14" s="410"/>
      <c r="BT14" s="412">
        <v>44.809000015258796</v>
      </c>
      <c r="BU14" s="411">
        <v>1.0872020217520819</v>
      </c>
      <c r="BV14" s="410"/>
      <c r="BW14" s="409" t="s">
        <v>1048</v>
      </c>
    </row>
    <row r="15" spans="1:75">
      <c r="A15" s="435" t="s">
        <v>313</v>
      </c>
      <c r="B15" s="435" t="s">
        <v>453</v>
      </c>
      <c r="C15" s="1453">
        <f>AVERAGE(AY$52:AY$56)</f>
        <v>473.09110659022235</v>
      </c>
      <c r="D15" s="434">
        <f>STDEV(AY$52:AY$56)</f>
        <v>48.412047910542739</v>
      </c>
      <c r="E15" s="1453">
        <v>96.824095821085479</v>
      </c>
      <c r="F15" s="1440">
        <f>AVERAGE(AY$57:AY$61)</f>
        <v>16.047036629438619</v>
      </c>
      <c r="G15" s="434">
        <f>STDEV(AY$57:AY$61)</f>
        <v>2.9742331646167797</v>
      </c>
      <c r="H15" s="1440">
        <v>5.9484663292335593</v>
      </c>
      <c r="I15" s="1440">
        <f>AVERAGE(AY$62:AY$66)</f>
        <v>14.419858895374594</v>
      </c>
      <c r="J15" s="434">
        <f>STDEV(AY$62:AY$66)</f>
        <v>1.9543597345193069</v>
      </c>
      <c r="K15" s="1440">
        <v>3.9087194690386138</v>
      </c>
      <c r="L15" s="930">
        <v>32.808303466962087</v>
      </c>
      <c r="M15" s="570">
        <v>5.5716928792178004</v>
      </c>
      <c r="N15" s="879">
        <v>11.143385758435601</v>
      </c>
      <c r="O15" s="435">
        <v>0.63</v>
      </c>
      <c r="P15" s="433">
        <v>-3.23</v>
      </c>
      <c r="Q15" s="778">
        <v>0.43392875400000003</v>
      </c>
      <c r="R15" s="570">
        <f t="shared" si="0"/>
        <v>0.23343791604634864</v>
      </c>
      <c r="S15" s="570">
        <v>55.002446421225329</v>
      </c>
      <c r="T15" s="570">
        <v>89.405555800568081</v>
      </c>
      <c r="U15" s="570">
        <v>14.204061445184095</v>
      </c>
      <c r="V15" s="570">
        <v>20.199047934158656</v>
      </c>
      <c r="W15" s="888">
        <f t="shared" si="1"/>
        <v>69.206507866409424</v>
      </c>
      <c r="X15" s="573">
        <f t="shared" si="2"/>
        <v>0.47406384859488288</v>
      </c>
      <c r="Y15" s="570">
        <f t="shared" si="3"/>
        <v>8.0508221711936973E-2</v>
      </c>
      <c r="Z15" s="570"/>
      <c r="AA15" s="570"/>
      <c r="AB15" s="885">
        <v>29.481524689881184</v>
      </c>
      <c r="AC15" s="570">
        <v>6.2417589519128649</v>
      </c>
      <c r="AD15" s="573">
        <v>12.48351790382573</v>
      </c>
      <c r="AE15" s="570"/>
      <c r="AF15" s="570"/>
      <c r="AG15" s="873">
        <v>1.1128428333363214</v>
      </c>
      <c r="AH15" s="573">
        <v>0.25552218780055713</v>
      </c>
      <c r="AI15" s="864">
        <v>0.51104437560111426</v>
      </c>
      <c r="AJ15" s="435" t="s">
        <v>453</v>
      </c>
    </row>
    <row r="16" spans="1:75" ht="17">
      <c r="A16" s="435" t="s">
        <v>313</v>
      </c>
      <c r="B16" s="435" t="s">
        <v>449</v>
      </c>
      <c r="C16" s="434">
        <f>AVERAGE(AZ$52:AZ$56)</f>
        <v>440.70496910847652</v>
      </c>
      <c r="D16" s="434">
        <f>STDEV(AZ$52:AZ$56)</f>
        <v>40.185937062848375</v>
      </c>
      <c r="E16" s="434">
        <v>80.371874125696749</v>
      </c>
      <c r="F16" s="405">
        <f>AVERAGE(AZ$57:AZ$61)</f>
        <v>3.7409394993548544</v>
      </c>
      <c r="G16" s="405" t="e">
        <f>STDEV(AZ$57:AZ$61)</f>
        <v>#DIV/0!</v>
      </c>
      <c r="H16" s="405" t="e">
        <v>#DIV/0!</v>
      </c>
      <c r="I16" s="405" t="e">
        <f>AVERAGE(AZ$62:AZ$66)</f>
        <v>#DIV/0!</v>
      </c>
      <c r="J16" s="405" t="e">
        <f>STDEV(AZ$62:AZ$66)</f>
        <v>#DIV/0!</v>
      </c>
      <c r="K16" s="405" t="e">
        <v>#DIV/0!</v>
      </c>
      <c r="L16" s="1323" t="e">
        <v>#DIV/0!</v>
      </c>
      <c r="M16" s="571" t="e">
        <v>#DIV/0!</v>
      </c>
      <c r="N16" s="862" t="e">
        <v>#DIV/0!</v>
      </c>
      <c r="O16" s="435">
        <v>0.63</v>
      </c>
      <c r="P16" s="433">
        <v>-3.23</v>
      </c>
      <c r="Q16" s="778">
        <v>0.43392875400000003</v>
      </c>
      <c r="R16" s="570">
        <f t="shared" si="0"/>
        <v>0.23343791604634864</v>
      </c>
      <c r="S16" s="570">
        <v>55.002446421225329</v>
      </c>
      <c r="T16" s="570">
        <v>89.405555800568081</v>
      </c>
      <c r="U16" s="570">
        <v>14.204061445184095</v>
      </c>
      <c r="V16" s="570">
        <v>20.199047934158656</v>
      </c>
      <c r="W16" s="888">
        <f t="shared" si="1"/>
        <v>69.206507866409424</v>
      </c>
      <c r="X16" s="573" t="e">
        <f t="shared" si="2"/>
        <v>#DIV/0!</v>
      </c>
      <c r="Y16" s="570" t="e">
        <f t="shared" si="3"/>
        <v>#DIV/0!</v>
      </c>
      <c r="Z16" s="570"/>
      <c r="AA16" s="570"/>
      <c r="AB16" s="868">
        <v>117.80596002273721</v>
      </c>
      <c r="AC16" s="571" t="e">
        <v>#DIV/0!</v>
      </c>
      <c r="AD16" s="571" t="e">
        <v>#DIV/0!</v>
      </c>
      <c r="AE16" s="570"/>
      <c r="AF16" s="570"/>
      <c r="AG16" s="868" t="e">
        <v>#DIV/0!</v>
      </c>
      <c r="AH16" s="571" t="e">
        <v>#DIV/0!</v>
      </c>
      <c r="AI16" s="862" t="e">
        <v>#DIV/0!</v>
      </c>
      <c r="AJ16" s="435" t="s">
        <v>449</v>
      </c>
      <c r="AL16" s="988" t="s">
        <v>999</v>
      </c>
      <c r="AM16" s="997" t="s">
        <v>1047</v>
      </c>
      <c r="AN16" s="997" t="s">
        <v>1046</v>
      </c>
      <c r="AO16" s="991">
        <v>30.811610231736857</v>
      </c>
      <c r="AP16" s="991">
        <v>602721.165078972</v>
      </c>
      <c r="AQ16" s="991">
        <v>1069.499645785542</v>
      </c>
      <c r="AR16" s="1004">
        <v>454100</v>
      </c>
      <c r="AS16" s="991">
        <v>521083.88901069056</v>
      </c>
      <c r="AT16" s="991">
        <v>336.89495347665559</v>
      </c>
      <c r="AU16" s="991">
        <v>46.654339400783229</v>
      </c>
      <c r="AV16" s="991">
        <v>28.879342138704455</v>
      </c>
      <c r="AW16" s="991">
        <v>162.33187865981043</v>
      </c>
      <c r="AX16" s="991">
        <v>153.15797799970628</v>
      </c>
      <c r="AY16" s="991">
        <v>323.55169188837181</v>
      </c>
      <c r="AZ16" s="991">
        <v>364.02834930991531</v>
      </c>
      <c r="BA16" s="991">
        <v>336.83462947257249</v>
      </c>
      <c r="BB16" s="991">
        <v>256.37297185534749</v>
      </c>
      <c r="BC16" s="991">
        <v>233.46515937601191</v>
      </c>
      <c r="BD16" s="991">
        <v>302.70317601486704</v>
      </c>
      <c r="BE16" s="991">
        <v>263.08546221288492</v>
      </c>
      <c r="BF16" s="991">
        <v>172.58464780002245</v>
      </c>
      <c r="BG16" s="991">
        <v>125.74119266338228</v>
      </c>
      <c r="BH16" s="991">
        <v>137.68331581268453</v>
      </c>
      <c r="BI16" s="990"/>
      <c r="BJ16" s="990"/>
      <c r="BK16" s="991">
        <v>134.71327075306348</v>
      </c>
      <c r="BL16" s="991">
        <v>30.009892083713037</v>
      </c>
      <c r="BM16" s="991">
        <v>41.930896917246741</v>
      </c>
      <c r="BN16" s="991">
        <v>31.835520690157665</v>
      </c>
      <c r="BO16" s="991">
        <v>123.37239525148489</v>
      </c>
      <c r="BP16" s="991">
        <v>316.84883710758402</v>
      </c>
      <c r="BQ16" s="990"/>
      <c r="BR16" s="990"/>
      <c r="BS16" s="994"/>
      <c r="BT16" s="995">
        <v>45.487001419067397</v>
      </c>
      <c r="BU16" s="996">
        <v>0.72930383734240445</v>
      </c>
      <c r="BV16" s="994"/>
      <c r="BW16" s="994" t="s">
        <v>996</v>
      </c>
    </row>
    <row r="17" spans="1:76" ht="17">
      <c r="A17" s="435" t="s">
        <v>313</v>
      </c>
      <c r="B17" s="435" t="s">
        <v>13</v>
      </c>
      <c r="C17" s="1453">
        <f>AVERAGE(BA$52:BA$56)</f>
        <v>405.5543577927811</v>
      </c>
      <c r="D17" s="434">
        <f>STDEV(BA$52:BA$56)</f>
        <v>22.762634198055153</v>
      </c>
      <c r="E17" s="1453">
        <v>45.525268396110306</v>
      </c>
      <c r="F17" s="1555">
        <f>AVERAGE(BA$57:BA$61)</f>
        <v>4.7344376890915214</v>
      </c>
      <c r="G17" s="405">
        <f>STDEV(BA$57:BA$61)</f>
        <v>4.6004309983819081</v>
      </c>
      <c r="H17" s="1555">
        <v>9.2008619967638161</v>
      </c>
      <c r="I17" s="1453">
        <f>AVERAGE(BA$62:BA$66)</f>
        <v>39.456054824215457</v>
      </c>
      <c r="J17" s="434">
        <f>STDEV(BA$62:BA$66)</f>
        <v>3.4628225742007799</v>
      </c>
      <c r="K17" s="1453">
        <v>6.9256451484015598</v>
      </c>
      <c r="L17" s="930">
        <v>10.278634283118425</v>
      </c>
      <c r="M17" s="570">
        <v>1.0707944268314709</v>
      </c>
      <c r="N17" s="879">
        <v>2.1415888536629417</v>
      </c>
      <c r="O17" s="435">
        <v>0.23</v>
      </c>
      <c r="P17" s="433">
        <v>-2</v>
      </c>
      <c r="Q17" s="778">
        <v>0.43392875400000003</v>
      </c>
      <c r="R17" s="570">
        <f t="shared" si="0"/>
        <v>0.23343791604634864</v>
      </c>
      <c r="S17" s="570">
        <v>3.6610957833215823</v>
      </c>
      <c r="T17" s="570">
        <v>4.9459578459418623</v>
      </c>
      <c r="U17" s="570">
        <v>0.55960962620467303</v>
      </c>
      <c r="V17" s="570">
        <v>0.72525243641560699</v>
      </c>
      <c r="W17" s="888">
        <f t="shared" si="1"/>
        <v>4.2207054095262553</v>
      </c>
      <c r="X17" s="573">
        <f t="shared" si="2"/>
        <v>2.4352882482438236</v>
      </c>
      <c r="Y17" s="570">
        <f t="shared" si="3"/>
        <v>0.25370034696443317</v>
      </c>
      <c r="Z17" s="570"/>
      <c r="AA17" s="570"/>
      <c r="AB17" s="868">
        <v>85.660512277351742</v>
      </c>
      <c r="AC17" s="571">
        <v>83.374661113582931</v>
      </c>
      <c r="AD17" s="571">
        <v>166.74932222716586</v>
      </c>
      <c r="AE17" s="570">
        <f>AVERAGE(BA57, BA60)/I17</f>
        <v>0.11999267818803425</v>
      </c>
      <c r="AF17" s="570"/>
      <c r="AG17" s="868">
        <v>0.11999267818803425</v>
      </c>
      <c r="AH17" s="571">
        <v>0.11707094379636052</v>
      </c>
      <c r="AI17" s="862">
        <v>0.23414188759272103</v>
      </c>
      <c r="AJ17" s="435" t="s">
        <v>13</v>
      </c>
      <c r="AL17" s="988" t="s">
        <v>995</v>
      </c>
      <c r="AM17" s="997" t="s">
        <v>1045</v>
      </c>
      <c r="AN17" s="997" t="s">
        <v>1044</v>
      </c>
      <c r="AO17" s="991">
        <v>22.619675152037715</v>
      </c>
      <c r="AP17" s="991">
        <v>598840.85407122388</v>
      </c>
      <c r="AQ17" s="991">
        <v>1013.3291428155301</v>
      </c>
      <c r="AR17" s="1004">
        <v>454100</v>
      </c>
      <c r="AS17" s="991">
        <v>481512.43597720354</v>
      </c>
      <c r="AT17" s="991">
        <v>289.62422450289063</v>
      </c>
      <c r="AU17" s="991">
        <v>40.13037429203947</v>
      </c>
      <c r="AV17" s="991">
        <v>22.244240549836228</v>
      </c>
      <c r="AW17" s="991">
        <v>143.91673509420426</v>
      </c>
      <c r="AX17" s="991">
        <v>139.26674419642453</v>
      </c>
      <c r="AY17" s="991">
        <v>420.50847451259835</v>
      </c>
      <c r="AZ17" s="991">
        <v>425.86489812428891</v>
      </c>
      <c r="BA17" s="991">
        <v>313.95202857444548</v>
      </c>
      <c r="BB17" s="991">
        <v>272.21930942967725</v>
      </c>
      <c r="BC17" s="991">
        <v>224.78097274530941</v>
      </c>
      <c r="BD17" s="991">
        <v>355.27796125352728</v>
      </c>
      <c r="BE17" s="991">
        <v>274.79845807257965</v>
      </c>
      <c r="BF17" s="991">
        <v>160.46076777968597</v>
      </c>
      <c r="BG17" s="997" t="s">
        <v>1043</v>
      </c>
      <c r="BH17" s="991">
        <v>131.36564278961714</v>
      </c>
      <c r="BI17" s="990"/>
      <c r="BJ17" s="990"/>
      <c r="BK17" s="991">
        <v>141.62857385249782</v>
      </c>
      <c r="BL17" s="991">
        <v>139.10498913507377</v>
      </c>
      <c r="BM17" s="991">
        <v>206.83030468128425</v>
      </c>
      <c r="BN17" s="991">
        <v>349.02787751621992</v>
      </c>
      <c r="BO17" s="991">
        <v>257.89075800553832</v>
      </c>
      <c r="BP17" s="991">
        <v>292.2059692941416</v>
      </c>
      <c r="BQ17" s="990"/>
      <c r="BR17" s="990"/>
      <c r="BS17" s="994"/>
      <c r="BT17" s="995">
        <v>43.450998306274407</v>
      </c>
      <c r="BU17" s="996">
        <v>0.76043783360466988</v>
      </c>
      <c r="BV17" s="994"/>
      <c r="BW17" s="994" t="s">
        <v>991</v>
      </c>
    </row>
    <row r="18" spans="1:76" ht="17">
      <c r="A18" s="435" t="s">
        <v>313</v>
      </c>
      <c r="B18" s="435" t="s">
        <v>443</v>
      </c>
      <c r="C18" s="1453">
        <f>AVERAGE(BB$52:BB$56)</f>
        <v>246.79509026749116</v>
      </c>
      <c r="D18" s="434">
        <f>STDEV(BB$52:BB$56)</f>
        <v>8.4050971047843408</v>
      </c>
      <c r="E18" s="1453">
        <v>16.810194209568682</v>
      </c>
      <c r="F18" s="1453">
        <f>AVERAGE(BB$57:BB$61)</f>
        <v>301.5196947006508</v>
      </c>
      <c r="G18" s="434">
        <f>STDEV(BB$57:BB$61)</f>
        <v>91.171453297509657</v>
      </c>
      <c r="H18" s="1453">
        <v>182.34290659501931</v>
      </c>
      <c r="I18" s="1453">
        <f>AVERAGE(BB$62:BB$66)</f>
        <v>139.63713973716673</v>
      </c>
      <c r="J18" s="434">
        <f>STDEV(BB$62:BB$66)</f>
        <v>20.883149251202841</v>
      </c>
      <c r="K18" s="1453">
        <v>41.766298502405682</v>
      </c>
      <c r="L18" s="930">
        <v>1.7674029325724048</v>
      </c>
      <c r="M18" s="570">
        <v>0.27108740399974729</v>
      </c>
      <c r="N18" s="879">
        <v>0.54217480799949458</v>
      </c>
      <c r="O18" s="435">
        <v>0.67</v>
      </c>
      <c r="P18" s="433">
        <v>-1.33</v>
      </c>
      <c r="Q18" s="778">
        <v>0.43392875400000003</v>
      </c>
      <c r="R18" s="570">
        <f t="shared" si="0"/>
        <v>0.23343791604634864</v>
      </c>
      <c r="S18" s="570">
        <v>4.2201430009988607</v>
      </c>
      <c r="T18" s="570">
        <v>5.1546871821781464</v>
      </c>
      <c r="U18" s="570">
        <v>0.41866976852067417</v>
      </c>
      <c r="V18" s="570">
        <v>0.51587441265861145</v>
      </c>
      <c r="W18" s="888">
        <f t="shared" si="1"/>
        <v>4.6388127695195349</v>
      </c>
      <c r="X18" s="573">
        <f t="shared" si="2"/>
        <v>0.38100329122691956</v>
      </c>
      <c r="Y18" s="570">
        <f t="shared" si="3"/>
        <v>5.8438962180365206E-2</v>
      </c>
      <c r="Z18" s="570"/>
      <c r="AA18" s="570"/>
      <c r="AB18" s="885">
        <v>0.81850404668427945</v>
      </c>
      <c r="AC18" s="570">
        <v>0.2490585385035046</v>
      </c>
      <c r="AD18" s="573">
        <v>0.49811707700700919</v>
      </c>
      <c r="AE18" s="570"/>
      <c r="AF18" s="570"/>
      <c r="AG18" s="873">
        <v>2.159308728810895</v>
      </c>
      <c r="AH18" s="573">
        <v>0.72841264357377455</v>
      </c>
      <c r="AI18" s="864">
        <v>1.4568252871475491</v>
      </c>
      <c r="AJ18" s="435" t="s">
        <v>443</v>
      </c>
      <c r="AL18" s="988" t="s">
        <v>990</v>
      </c>
      <c r="AM18" s="997" t="s">
        <v>1042</v>
      </c>
      <c r="AN18" s="997" t="s">
        <v>1041</v>
      </c>
      <c r="AO18" s="991">
        <v>20.641706727013371</v>
      </c>
      <c r="AP18" s="991">
        <v>656253.59250374185</v>
      </c>
      <c r="AQ18" s="991">
        <v>1043.3842886981231</v>
      </c>
      <c r="AR18" s="1004">
        <v>454100</v>
      </c>
      <c r="AS18" s="991">
        <v>488664.80087157612</v>
      </c>
      <c r="AT18" s="991">
        <v>295.4120552709885</v>
      </c>
      <c r="AU18" s="991">
        <v>37.507567197687884</v>
      </c>
      <c r="AV18" s="991">
        <v>23.857500032197851</v>
      </c>
      <c r="AW18" s="991">
        <v>137.86755818566354</v>
      </c>
      <c r="AX18" s="991">
        <v>146.99353764476868</v>
      </c>
      <c r="AY18" s="991">
        <v>350.89270659908419</v>
      </c>
      <c r="AZ18" s="991">
        <v>368.96558395729215</v>
      </c>
      <c r="BA18" s="991">
        <v>309.3453290460493</v>
      </c>
      <c r="BB18" s="991">
        <v>254.56384479233367</v>
      </c>
      <c r="BC18" s="991">
        <v>216.94534258811862</v>
      </c>
      <c r="BD18" s="991">
        <v>322.42040873287004</v>
      </c>
      <c r="BE18" s="991">
        <v>252.8791482038971</v>
      </c>
      <c r="BF18" s="991">
        <v>152.66467387872734</v>
      </c>
      <c r="BG18" s="997" t="s">
        <v>1040</v>
      </c>
      <c r="BH18" s="991">
        <v>134.69823738683539</v>
      </c>
      <c r="BI18" s="990"/>
      <c r="BJ18" s="990"/>
      <c r="BK18" s="991">
        <v>134.9897758794672</v>
      </c>
      <c r="BL18" s="991">
        <v>75.507469054543648</v>
      </c>
      <c r="BM18" s="991">
        <v>102.74502691289317</v>
      </c>
      <c r="BN18" s="991">
        <v>58.933368598262618</v>
      </c>
      <c r="BO18" s="991">
        <v>188.56797653648349</v>
      </c>
      <c r="BP18" s="991">
        <v>291.6111049424502</v>
      </c>
      <c r="BQ18" s="990"/>
      <c r="BR18" s="990"/>
      <c r="BS18" s="994"/>
      <c r="BT18" s="995">
        <v>43.450998306274407</v>
      </c>
      <c r="BU18" s="996">
        <v>0.7610029519738376</v>
      </c>
      <c r="BV18" s="994"/>
      <c r="BW18" s="994" t="s">
        <v>987</v>
      </c>
    </row>
    <row r="19" spans="1:76" ht="17">
      <c r="A19" s="435" t="s">
        <v>313</v>
      </c>
      <c r="B19" s="435" t="s">
        <v>831</v>
      </c>
      <c r="C19" s="434">
        <f>AVERAGE(BC$52:BC$56)</f>
        <v>250.28217380186894</v>
      </c>
      <c r="D19" s="434">
        <f>STDEV(BC$52:BC$56)</f>
        <v>10.677524264278102</v>
      </c>
      <c r="E19" s="434">
        <v>21.355048528556203</v>
      </c>
      <c r="F19" s="434">
        <f>AVERAGE(BC$57:BC$61)</f>
        <v>297.0322392145448</v>
      </c>
      <c r="G19" s="434">
        <f>STDEV(BC$57:BC$61)</f>
        <v>90.007069872539645</v>
      </c>
      <c r="H19" s="434">
        <v>180.01413974507929</v>
      </c>
      <c r="I19" s="1453">
        <f>AVERAGE(BC$62:BC$66)</f>
        <v>140.40804436294985</v>
      </c>
      <c r="J19" s="434">
        <f>STDEV(BC$62:BC$66)</f>
        <v>21.532561019572288</v>
      </c>
      <c r="K19" s="1453">
        <v>43.065122039144576</v>
      </c>
      <c r="L19" s="930">
        <v>1.7825344333897162</v>
      </c>
      <c r="M19" s="570">
        <v>0.28374466278834576</v>
      </c>
      <c r="N19" s="879">
        <v>0.56748932557669152</v>
      </c>
      <c r="O19" s="435">
        <v>0.67</v>
      </c>
      <c r="P19" s="433">
        <v>-1.33</v>
      </c>
      <c r="Q19" s="778">
        <v>0.43392875400000003</v>
      </c>
      <c r="R19" s="570">
        <f t="shared" si="0"/>
        <v>0.23343791604634864</v>
      </c>
      <c r="S19" s="570">
        <v>4.2201430009988607</v>
      </c>
      <c r="T19" s="570">
        <v>5.1546871821781464</v>
      </c>
      <c r="U19" s="570">
        <v>0.41866976852067417</v>
      </c>
      <c r="V19" s="570">
        <v>0.51587441265861145</v>
      </c>
      <c r="W19" s="888">
        <f t="shared" si="1"/>
        <v>4.6388127695195349</v>
      </c>
      <c r="X19" s="573">
        <f t="shared" si="2"/>
        <v>0.38426522516759004</v>
      </c>
      <c r="Y19" s="570">
        <f t="shared" si="3"/>
        <v>6.1167517829725765E-2</v>
      </c>
      <c r="Z19" s="570"/>
      <c r="AA19" s="570"/>
      <c r="AB19" s="885">
        <v>0.84260945701955081</v>
      </c>
      <c r="AC19" s="570">
        <v>0.25784661411394649</v>
      </c>
      <c r="AD19" s="573">
        <v>0.51569322822789299</v>
      </c>
      <c r="AE19" s="570"/>
      <c r="AF19" s="570"/>
      <c r="AG19" s="873">
        <v>2.1154930300626287</v>
      </c>
      <c r="AH19" s="573">
        <v>0.71845904446848274</v>
      </c>
      <c r="AI19" s="864">
        <v>1.4369180889369655</v>
      </c>
      <c r="AJ19" s="435" t="s">
        <v>831</v>
      </c>
      <c r="AL19" s="988" t="s">
        <v>986</v>
      </c>
      <c r="AM19" s="997" t="s">
        <v>1039</v>
      </c>
      <c r="AN19" s="997" t="s">
        <v>1038</v>
      </c>
      <c r="AO19" s="991">
        <v>27.205521692869187</v>
      </c>
      <c r="AP19" s="991">
        <v>616193.93999926501</v>
      </c>
      <c r="AQ19" s="991">
        <v>1051.5678181558344</v>
      </c>
      <c r="AR19" s="1004">
        <v>454100</v>
      </c>
      <c r="AS19" s="991">
        <v>494917.85254024272</v>
      </c>
      <c r="AT19" s="991">
        <v>307.76919164404455</v>
      </c>
      <c r="AU19" s="991">
        <v>41.123384542554909</v>
      </c>
      <c r="AV19" s="991">
        <v>24.450032012289441</v>
      </c>
      <c r="AW19" s="991">
        <v>147.44333478848696</v>
      </c>
      <c r="AX19" s="991">
        <v>146.77399951158017</v>
      </c>
      <c r="AY19" s="991">
        <v>344.77227672474919</v>
      </c>
      <c r="AZ19" s="991">
        <v>337.25463544298202</v>
      </c>
      <c r="BA19" s="991">
        <v>310.23971802534226</v>
      </c>
      <c r="BB19" s="991">
        <v>264.85264499925989</v>
      </c>
      <c r="BC19" s="991">
        <v>213.92379752910324</v>
      </c>
      <c r="BD19" s="991">
        <v>328.01761195135379</v>
      </c>
      <c r="BE19" s="991">
        <v>265.94986755133959</v>
      </c>
      <c r="BF19" s="991">
        <v>152.89642087873059</v>
      </c>
      <c r="BG19" s="997" t="s">
        <v>685</v>
      </c>
      <c r="BH19" s="991">
        <v>138.03522858740635</v>
      </c>
      <c r="BI19" s="990"/>
      <c r="BJ19" s="990"/>
      <c r="BK19" s="991">
        <v>141.95025676158554</v>
      </c>
      <c r="BL19" s="991">
        <v>40.03063729300613</v>
      </c>
      <c r="BM19" s="991">
        <v>99.456867805801437</v>
      </c>
      <c r="BN19" s="991">
        <v>50.319742100013102</v>
      </c>
      <c r="BO19" s="991">
        <v>192.40593335798604</v>
      </c>
      <c r="BP19" s="991">
        <v>296.83542727653315</v>
      </c>
      <c r="BQ19" s="990"/>
      <c r="BR19" s="990"/>
      <c r="BS19" s="994"/>
      <c r="BT19" s="995">
        <v>43.451002120971694</v>
      </c>
      <c r="BU19" s="996">
        <v>0.80082768140741489</v>
      </c>
      <c r="BV19" s="994"/>
      <c r="BW19" s="994" t="s">
        <v>983</v>
      </c>
    </row>
    <row r="20" spans="1:76" ht="17">
      <c r="A20" s="407" t="s">
        <v>270</v>
      </c>
      <c r="B20" s="407" t="s">
        <v>440</v>
      </c>
      <c r="C20" s="1455">
        <f>AVERAGE(BD$16:BD$20)</f>
        <v>325.02947212327069</v>
      </c>
      <c r="D20" s="438">
        <f>STDEV(BD$16:BD$20)</f>
        <v>19.352531220944268</v>
      </c>
      <c r="E20" s="1455">
        <v>38.705062441888536</v>
      </c>
      <c r="F20" s="807">
        <f>AVERAGE(BD$21:BD$25)</f>
        <v>0.83138801869015944</v>
      </c>
      <c r="G20" s="807">
        <f>STDEV(BD$21:BD$25)</f>
        <v>0.66535286912739822</v>
      </c>
      <c r="H20" s="807">
        <v>1.3307057382547964</v>
      </c>
      <c r="I20" s="1454">
        <f>AVERAGE(BD$26:BD$30)</f>
        <v>2.4134274612888218</v>
      </c>
      <c r="J20" s="438">
        <f>STDEV(BE$26:BE$30)</f>
        <v>0.94428589928590267</v>
      </c>
      <c r="K20" s="1454">
        <v>1.8885717985718053</v>
      </c>
      <c r="L20" s="1324">
        <v>134.67546770587339</v>
      </c>
      <c r="M20" s="749">
        <v>53.30021878507447</v>
      </c>
      <c r="N20" s="861">
        <v>106.60043757014894</v>
      </c>
      <c r="O20" s="407">
        <v>1.18</v>
      </c>
      <c r="P20" s="404">
        <v>-3.89</v>
      </c>
      <c r="Q20" s="779">
        <v>0.43392875400000003</v>
      </c>
      <c r="R20" s="749">
        <f t="shared" si="0"/>
        <v>0.23343791604634864</v>
      </c>
      <c r="S20" s="749">
        <v>256.77038881578227</v>
      </c>
      <c r="T20" s="749">
        <v>460.93365033131892</v>
      </c>
      <c r="U20" s="749">
        <v>81.836095778557876</v>
      </c>
      <c r="V20" s="749">
        <v>122.32716573697877</v>
      </c>
      <c r="W20" s="889">
        <f t="shared" si="1"/>
        <v>338.60648459434015</v>
      </c>
      <c r="X20" s="749">
        <f t="shared" si="2"/>
        <v>0.39773446119089623</v>
      </c>
      <c r="Y20" s="749">
        <f t="shared" si="3"/>
        <v>0.15741050809741458</v>
      </c>
      <c r="Z20" s="749"/>
      <c r="AA20" s="749"/>
      <c r="AB20" s="868">
        <v>390.94798675996105</v>
      </c>
      <c r="AC20" s="571">
        <v>313.73711104567559</v>
      </c>
      <c r="AD20" s="571">
        <v>627.47422209135118</v>
      </c>
      <c r="AE20" s="749"/>
      <c r="AF20" s="749"/>
      <c r="AG20" s="868">
        <v>0.34448436177409719</v>
      </c>
      <c r="AH20" s="571">
        <v>0.30687229911071778</v>
      </c>
      <c r="AI20" s="862">
        <v>0.61374459822143557</v>
      </c>
      <c r="AJ20" s="407" t="s">
        <v>440</v>
      </c>
      <c r="AL20" s="988" t="s">
        <v>982</v>
      </c>
      <c r="AM20" s="997" t="s">
        <v>1037</v>
      </c>
      <c r="AN20" s="997" t="s">
        <v>1036</v>
      </c>
      <c r="AO20" s="991">
        <v>16.569041481891752</v>
      </c>
      <c r="AP20" s="991">
        <v>612898.01871629537</v>
      </c>
      <c r="AQ20" s="991">
        <v>1027.3550895621661</v>
      </c>
      <c r="AR20" s="1004">
        <v>454100</v>
      </c>
      <c r="AS20" s="991">
        <v>478146.52443641948</v>
      </c>
      <c r="AT20" s="991">
        <v>319.94769905406531</v>
      </c>
      <c r="AU20" s="991">
        <v>48.73883558750093</v>
      </c>
      <c r="AV20" s="991">
        <v>32.75135756304438</v>
      </c>
      <c r="AW20" s="991">
        <v>142.80553179508576</v>
      </c>
      <c r="AX20" s="991">
        <v>141.53396052271461</v>
      </c>
      <c r="AY20" s="991">
        <v>359.29472359817919</v>
      </c>
      <c r="AZ20" s="991">
        <v>374.66411372945078</v>
      </c>
      <c r="BA20" s="991">
        <v>293.78833163361446</v>
      </c>
      <c r="BB20" s="991">
        <v>260.89548758083782</v>
      </c>
      <c r="BC20" s="991">
        <v>228.06898865308966</v>
      </c>
      <c r="BD20" s="991">
        <v>316.72820266373537</v>
      </c>
      <c r="BE20" s="991">
        <v>265.81458077712153</v>
      </c>
      <c r="BF20" s="991">
        <v>151.37828289564897</v>
      </c>
      <c r="BG20" s="997" t="s">
        <v>1035</v>
      </c>
      <c r="BH20" s="991">
        <v>142.31753018159006</v>
      </c>
      <c r="BI20" s="990"/>
      <c r="BJ20" s="990"/>
      <c r="BK20" s="991">
        <v>142.00799748039299</v>
      </c>
      <c r="BL20" s="991">
        <v>29.266986279941648</v>
      </c>
      <c r="BM20" s="991">
        <v>46.770174338745548</v>
      </c>
      <c r="BN20" s="991">
        <v>32.201619602571348</v>
      </c>
      <c r="BO20" s="991">
        <v>170.54381506154701</v>
      </c>
      <c r="BP20" s="991">
        <v>307.82007671430966</v>
      </c>
      <c r="BQ20" s="990"/>
      <c r="BR20" s="990"/>
      <c r="BS20" s="994"/>
      <c r="BT20" s="995">
        <v>34.625003814697301</v>
      </c>
      <c r="BU20" s="996">
        <v>0.64938940962285463</v>
      </c>
      <c r="BV20" s="994"/>
      <c r="BW20" s="994" t="s">
        <v>979</v>
      </c>
    </row>
    <row r="21" spans="1:76" ht="17">
      <c r="A21" s="407" t="s">
        <v>270</v>
      </c>
      <c r="B21" s="407" t="s">
        <v>16</v>
      </c>
      <c r="C21" s="1455">
        <f>AVERAGE(BE$16:BE$20)</f>
        <v>264.50550336356457</v>
      </c>
      <c r="D21" s="438">
        <f>STDEV(BE$16:BE$20)</f>
        <v>7.8570579638914086</v>
      </c>
      <c r="E21" s="1455">
        <v>15.714115927782817</v>
      </c>
      <c r="F21" s="405">
        <f>AVERAGE(BE$21:BE$25)</f>
        <v>0.84690494480660239</v>
      </c>
      <c r="G21" s="405">
        <f>STDEV(BE$21:BE$25)</f>
        <v>1.6415608860766111</v>
      </c>
      <c r="H21" s="405">
        <v>3.2831217721532222</v>
      </c>
      <c r="I21" s="1454">
        <f>AVERAGE(BE$26:BE$30)</f>
        <v>2.4214592233846544</v>
      </c>
      <c r="J21" s="438">
        <f>STDEV(BE$26:BE$30)</f>
        <v>0.94428589928590267</v>
      </c>
      <c r="K21" s="1454">
        <v>1.8885717985718053</v>
      </c>
      <c r="L21" s="1324">
        <v>109.23392837226699</v>
      </c>
      <c r="M21" s="749">
        <v>42.720881200116551</v>
      </c>
      <c r="N21" s="861">
        <v>85.441762400233102</v>
      </c>
      <c r="O21" s="407">
        <v>0.97</v>
      </c>
      <c r="P21" s="404">
        <v>-2.66</v>
      </c>
      <c r="Q21" s="779">
        <v>0.43392875400000003</v>
      </c>
      <c r="R21" s="749">
        <f t="shared" si="0"/>
        <v>0.23343791604634864</v>
      </c>
      <c r="S21" s="749">
        <v>38.483668390316957</v>
      </c>
      <c r="T21" s="749">
        <v>57.415183666135711</v>
      </c>
      <c r="U21" s="749">
        <v>8.0144968877800977</v>
      </c>
      <c r="V21" s="749">
        <v>10.917018388038656</v>
      </c>
      <c r="W21" s="889">
        <f t="shared" si="1"/>
        <v>46.498165278097055</v>
      </c>
      <c r="X21" s="749">
        <f t="shared" si="2"/>
        <v>2.3492094305002955</v>
      </c>
      <c r="Y21" s="749">
        <f t="shared" si="3"/>
        <v>0.91876487910029891</v>
      </c>
      <c r="Z21" s="749"/>
      <c r="AA21" s="749"/>
      <c r="AB21" s="868">
        <v>312.32017829812833</v>
      </c>
      <c r="AC21" s="571">
        <v>605.44314126469669</v>
      </c>
      <c r="AD21" s="571">
        <v>1210.8862825293934</v>
      </c>
      <c r="AE21" s="749"/>
      <c r="AF21" s="749"/>
      <c r="AG21" s="868">
        <v>0.34974982714052072</v>
      </c>
      <c r="AH21" s="571">
        <v>0.6915061902494587</v>
      </c>
      <c r="AI21" s="862">
        <v>1.3830123804989174</v>
      </c>
      <c r="AJ21" s="407" t="s">
        <v>16</v>
      </c>
      <c r="AL21" s="1193" t="s">
        <v>978</v>
      </c>
      <c r="AM21" s="1169">
        <v>901.29061853210976</v>
      </c>
      <c r="AN21" s="1171">
        <v>8.8305938451530057</v>
      </c>
      <c r="AO21" s="1194" t="s">
        <v>1034</v>
      </c>
      <c r="AP21" s="1169">
        <v>773026.47925644252</v>
      </c>
      <c r="AQ21" s="1169">
        <v>131.27803917092058</v>
      </c>
      <c r="AR21" s="1170">
        <v>22900</v>
      </c>
      <c r="AS21" s="1169">
        <v>23246.485380188435</v>
      </c>
      <c r="AT21" s="1169">
        <v>236.20612436149977</v>
      </c>
      <c r="AU21" s="1169">
        <v>128.08388585242622</v>
      </c>
      <c r="AV21" s="1169">
        <v>85.564965403572401</v>
      </c>
      <c r="AW21" s="1171">
        <v>1.3096285019523117</v>
      </c>
      <c r="AX21" s="1168">
        <v>0.72551572850326795</v>
      </c>
      <c r="AY21" s="1169">
        <v>12.341070637037488</v>
      </c>
      <c r="AZ21" s="1194" t="s">
        <v>411</v>
      </c>
      <c r="BA21" s="1171">
        <v>1.1583923667751468</v>
      </c>
      <c r="BB21" s="1169">
        <v>377.11335389266372</v>
      </c>
      <c r="BC21" s="1169">
        <v>309.99005375805672</v>
      </c>
      <c r="BD21" s="1168">
        <v>0.6782988901985606</v>
      </c>
      <c r="BE21" s="1168">
        <v>0.20300750385164285</v>
      </c>
      <c r="BF21" s="1168">
        <v>0.20873114762692729</v>
      </c>
      <c r="BG21" s="1194" t="s">
        <v>1033</v>
      </c>
      <c r="BH21" s="1168">
        <v>0.19234803837655823</v>
      </c>
      <c r="BI21" s="1168"/>
      <c r="BJ21" s="1168"/>
      <c r="BK21" s="1171">
        <v>1.5704508569688211</v>
      </c>
      <c r="BL21" s="1384">
        <v>6.2466253739322684E-3</v>
      </c>
      <c r="BM21" s="1171">
        <v>1.4378628764208496</v>
      </c>
      <c r="BN21" s="1385">
        <v>8.9108901056455646E-4</v>
      </c>
      <c r="BO21" s="1168">
        <v>0.41405198535902732</v>
      </c>
      <c r="BP21" s="1168">
        <v>0.56537233286100086</v>
      </c>
      <c r="BQ21" s="1168"/>
      <c r="BR21" s="1168"/>
      <c r="BS21" s="1175"/>
      <c r="BT21" s="1176">
        <v>31.23099899292</v>
      </c>
      <c r="BU21" s="1177">
        <v>4.0672092771917461</v>
      </c>
      <c r="BV21" s="1175"/>
      <c r="BW21" s="1175" t="s">
        <v>977</v>
      </c>
    </row>
    <row r="22" spans="1:76" ht="17">
      <c r="A22" s="407" t="s">
        <v>270</v>
      </c>
      <c r="B22" s="407" t="s">
        <v>435</v>
      </c>
      <c r="C22" s="1455">
        <f>AVERAGE(BF$16:BF$20)</f>
        <v>157.99695864656306</v>
      </c>
      <c r="D22" s="438">
        <f>STDEV(BF$16:BF$20)</f>
        <v>8.9040250076093841</v>
      </c>
      <c r="E22" s="1455">
        <v>17.808050015218768</v>
      </c>
      <c r="F22" s="405">
        <f>AVERAGE(BF$21:BF$25)</f>
        <v>0.8204006086991269</v>
      </c>
      <c r="G22" s="405">
        <f>STDEV(BF$21:BF$25)</f>
        <v>1.4642935802969406</v>
      </c>
      <c r="H22" s="405">
        <v>2.9285871605938811</v>
      </c>
      <c r="I22" s="1455">
        <f>AVERAGE(BF$26:BF$30)</f>
        <v>26.525873175664106</v>
      </c>
      <c r="J22" s="438">
        <f>STDEV(BF$26:BF$30)</f>
        <v>9.7647254296913299</v>
      </c>
      <c r="K22" s="1455">
        <v>19.52945085938266</v>
      </c>
      <c r="L22" s="1324">
        <v>5.9563339385757059</v>
      </c>
      <c r="M22" s="749">
        <v>2.2181956909939324</v>
      </c>
      <c r="N22" s="861">
        <v>4.4363913819878649</v>
      </c>
      <c r="O22" s="407">
        <v>0.54</v>
      </c>
      <c r="P22" s="404">
        <v>-0.70699999999999996</v>
      </c>
      <c r="Q22" s="779">
        <v>0.43392875400000003</v>
      </c>
      <c r="R22" s="749">
        <f t="shared" si="0"/>
        <v>0.23343791604634864</v>
      </c>
      <c r="S22" s="749">
        <v>1.4363473932377122</v>
      </c>
      <c r="T22" s="749">
        <v>1.5974986136193696</v>
      </c>
      <c r="U22" s="749">
        <v>7.4068621609904239E-2</v>
      </c>
      <c r="V22" s="749">
        <v>8.7082598771753172E-2</v>
      </c>
      <c r="W22" s="889">
        <f t="shared" si="1"/>
        <v>1.5104160148476165</v>
      </c>
      <c r="X22" s="749">
        <f t="shared" si="2"/>
        <v>3.9435055508045784</v>
      </c>
      <c r="Y22" s="749">
        <f t="shared" si="3"/>
        <v>1.4685991602238955</v>
      </c>
      <c r="Z22" s="749"/>
      <c r="AA22" s="749"/>
      <c r="AB22" s="868">
        <v>192.58513093632618</v>
      </c>
      <c r="AC22" s="571">
        <v>343.90723583000306</v>
      </c>
      <c r="AD22" s="571">
        <v>687.81447166000612</v>
      </c>
      <c r="AE22" s="749"/>
      <c r="AF22" s="749"/>
      <c r="AG22" s="868">
        <v>3.0928316789654079E-2</v>
      </c>
      <c r="AH22" s="571">
        <v>5.6364336790015158E-2</v>
      </c>
      <c r="AI22" s="862">
        <v>0.11272867358003032</v>
      </c>
      <c r="AJ22" s="407" t="s">
        <v>435</v>
      </c>
      <c r="AL22" s="1193" t="s">
        <v>976</v>
      </c>
      <c r="AM22" s="1169">
        <v>3881.5055569655883</v>
      </c>
      <c r="AN22" s="1169">
        <v>106.92176725105125</v>
      </c>
      <c r="AO22" s="1194" t="s">
        <v>1032</v>
      </c>
      <c r="AP22" s="1169">
        <v>796446.09647663822</v>
      </c>
      <c r="AQ22" s="1169">
        <v>130.6508010842301</v>
      </c>
      <c r="AR22" s="1170">
        <v>22900</v>
      </c>
      <c r="AS22" s="1169">
        <v>23258.850873173975</v>
      </c>
      <c r="AT22" s="1169">
        <v>243.42747158758294</v>
      </c>
      <c r="AU22" s="1169">
        <v>141.75578974255095</v>
      </c>
      <c r="AV22" s="1169">
        <v>82.77458701273568</v>
      </c>
      <c r="AW22" s="1169">
        <v>10.413303043059477</v>
      </c>
      <c r="AX22" s="1169">
        <v>10.787553476668336</v>
      </c>
      <c r="AY22" s="1169">
        <v>12.205276726363827</v>
      </c>
      <c r="AZ22" s="1194" t="s">
        <v>1031</v>
      </c>
      <c r="BA22" s="1194" t="s">
        <v>184</v>
      </c>
      <c r="BB22" s="1169">
        <v>395.75799780663669</v>
      </c>
      <c r="BC22" s="1169">
        <v>318.98160630811185</v>
      </c>
      <c r="BD22" s="1168">
        <v>0.5998851522821731</v>
      </c>
      <c r="BE22" s="1168">
        <v>7.9885671476371614E-2</v>
      </c>
      <c r="BF22" s="1168">
        <v>0.18662124019961276</v>
      </c>
      <c r="BG22" s="1194" t="s">
        <v>1030</v>
      </c>
      <c r="BH22" s="1168">
        <v>9.4201991657609827E-2</v>
      </c>
      <c r="BI22" s="1168"/>
      <c r="BJ22" s="1168"/>
      <c r="BK22" s="1169">
        <v>13.884106603599133</v>
      </c>
      <c r="BL22" s="1384">
        <v>1.952906705843216E-3</v>
      </c>
      <c r="BM22" s="1169"/>
      <c r="BN22" s="1169"/>
      <c r="BO22" s="1384">
        <v>2.5065798083992144E-3</v>
      </c>
      <c r="BP22" s="1168">
        <v>0.36746013084849466</v>
      </c>
      <c r="BQ22" s="1168"/>
      <c r="BR22" s="1168"/>
      <c r="BS22" s="1175"/>
      <c r="BT22" s="1176">
        <v>34.625</v>
      </c>
      <c r="BU22" s="1177">
        <v>3.8939343026795457</v>
      </c>
      <c r="BV22" s="1175"/>
      <c r="BW22" s="1175" t="s">
        <v>975</v>
      </c>
    </row>
    <row r="23" spans="1:76" ht="17">
      <c r="A23" s="435" t="s">
        <v>313</v>
      </c>
      <c r="B23" s="435" t="s">
        <v>18</v>
      </c>
      <c r="C23" s="434">
        <f>AVERAGE(BG$52:BG$56)</f>
        <v>0.62905230348287167</v>
      </c>
      <c r="D23" s="434">
        <f>STDEV(BG$52:BG$56)</f>
        <v>5.7591047861615126E-2</v>
      </c>
      <c r="E23" s="434">
        <v>0.11518209572323025</v>
      </c>
      <c r="F23" s="1440">
        <f>AVERAGE(BG$57:BG$61)</f>
        <v>2.5523741184837778</v>
      </c>
      <c r="G23" s="434">
        <f>STDEV(BG$57:BG$61)</f>
        <v>0.77957833871866944</v>
      </c>
      <c r="H23" s="1440">
        <v>1.5591566774373389</v>
      </c>
      <c r="I23" s="1453">
        <f>AVERAGE(BG$62:BG$66)</f>
        <v>259.84328756290671</v>
      </c>
      <c r="J23" s="434">
        <f>STDEV(BG$62:BG$66)</f>
        <v>46.524937018996589</v>
      </c>
      <c r="K23" s="1453">
        <v>93.049874037993177</v>
      </c>
      <c r="L23" s="896">
        <v>2.420891104722424E-3</v>
      </c>
      <c r="M23" s="880">
        <v>4.8683801805656153E-4</v>
      </c>
      <c r="N23" s="1334">
        <v>9.7367603611312305E-4</v>
      </c>
      <c r="O23" s="435">
        <v>0.15</v>
      </c>
      <c r="P23" s="433">
        <v>2.88</v>
      </c>
      <c r="Q23" s="778">
        <v>0.43392875400000003</v>
      </c>
      <c r="R23" s="570">
        <f t="shared" si="0"/>
        <v>0.23343791604634864</v>
      </c>
      <c r="S23" s="1373">
        <f>O23*(((1-(2*C47))/(1-C47))^P23)</f>
        <v>1.8082511571534006E-3</v>
      </c>
      <c r="T23" s="800">
        <f>O23*(((1-(2*C46))/(1-C46))^P23)</f>
        <v>2.7885560068886743E-3</v>
      </c>
      <c r="U23" s="800">
        <v>4.6383546135220937E-4</v>
      </c>
      <c r="V23" s="800">
        <v>5.1646938838306429E-4</v>
      </c>
      <c r="W23" s="884">
        <f t="shared" si="1"/>
        <v>2.27208661850561E-3</v>
      </c>
      <c r="X23" s="573">
        <f t="shared" si="2"/>
        <v>1.0654924354577138</v>
      </c>
      <c r="Y23" s="570">
        <f t="shared" si="3"/>
        <v>0.21426912781026067</v>
      </c>
      <c r="Z23" s="570"/>
      <c r="AA23" s="570"/>
      <c r="AB23" s="885">
        <v>0.24645771908099284</v>
      </c>
      <c r="AC23" s="570">
        <v>7.858518957807506E-2</v>
      </c>
      <c r="AD23" s="573">
        <v>0.15717037915615012</v>
      </c>
      <c r="AE23" s="570"/>
      <c r="AF23" s="570"/>
      <c r="AG23" s="1493">
        <v>9.8227440948069952E-3</v>
      </c>
      <c r="AH23" s="880">
        <v>3.4776951907689664E-3</v>
      </c>
      <c r="AI23" s="881">
        <v>6.9553903815379329E-3</v>
      </c>
      <c r="AJ23" s="435" t="s">
        <v>18</v>
      </c>
      <c r="AL23" s="1193" t="s">
        <v>974</v>
      </c>
      <c r="AM23" s="1169">
        <v>1376.5385980786659</v>
      </c>
      <c r="AN23" s="1171">
        <v>5.5349779846802329</v>
      </c>
      <c r="AO23" s="1194" t="s">
        <v>1029</v>
      </c>
      <c r="AP23" s="1169">
        <v>863227.10934097948</v>
      </c>
      <c r="AQ23" s="1169">
        <v>139.83822623538592</v>
      </c>
      <c r="AR23" s="1170">
        <v>22900</v>
      </c>
      <c r="AS23" s="1169">
        <v>23019.831253149172</v>
      </c>
      <c r="AT23" s="1169">
        <v>249.1756305916465</v>
      </c>
      <c r="AU23" s="1169">
        <v>141.09007826497921</v>
      </c>
      <c r="AV23" s="1169">
        <v>97.533352560847163</v>
      </c>
      <c r="AW23" s="1194" t="s">
        <v>214</v>
      </c>
      <c r="AX23" s="1168">
        <v>9.3691397423133413E-2</v>
      </c>
      <c r="AY23" s="1169">
        <v>12.912694798542985</v>
      </c>
      <c r="AZ23" s="1171">
        <v>3.305681580485921</v>
      </c>
      <c r="BA23" s="1194" t="s">
        <v>194</v>
      </c>
      <c r="BB23" s="1169">
        <v>405.07030744387498</v>
      </c>
      <c r="BC23" s="1169">
        <v>329.01640736696947</v>
      </c>
      <c r="BD23" s="1168">
        <v>0.68806756367122357</v>
      </c>
      <c r="BE23" s="1168">
        <v>7.859123298428769E-2</v>
      </c>
      <c r="BF23" s="1168">
        <v>0.140535692943041</v>
      </c>
      <c r="BG23" s="1194" t="s">
        <v>1028</v>
      </c>
      <c r="BH23" s="1168">
        <v>8.736301550386634E-2</v>
      </c>
      <c r="BI23" s="1168"/>
      <c r="BJ23" s="1168"/>
      <c r="BK23" s="1168">
        <v>0.5615317475111935</v>
      </c>
      <c r="BL23" s="1169"/>
      <c r="BM23" s="1384">
        <v>4.8945184847795703E-3</v>
      </c>
      <c r="BN23" s="1385">
        <v>2.9898347438061992E-3</v>
      </c>
      <c r="BO23" s="1384">
        <v>6.6629824748844378E-3</v>
      </c>
      <c r="BP23" s="1168">
        <v>0.38916811648468702</v>
      </c>
      <c r="BQ23" s="1168"/>
      <c r="BR23" s="1168"/>
      <c r="BS23" s="1175"/>
      <c r="BT23" s="1176">
        <v>45.488000869750998</v>
      </c>
      <c r="BU23" s="1177">
        <v>3.3759927669137197</v>
      </c>
      <c r="BV23" s="1175"/>
      <c r="BW23" s="1175" t="s">
        <v>973</v>
      </c>
    </row>
    <row r="24" spans="1:76" ht="17">
      <c r="A24" s="407" t="s">
        <v>270</v>
      </c>
      <c r="B24" s="407" t="s">
        <v>830</v>
      </c>
      <c r="C24" s="438">
        <f>AVERAGE(BH$16:BH$20)</f>
        <v>136.81999095162672</v>
      </c>
      <c r="D24" s="438">
        <f>STDEV(BH$16:BH$20)</f>
        <v>4.08340611420918</v>
      </c>
      <c r="E24" s="438">
        <v>8.16681222841836</v>
      </c>
      <c r="F24" s="405">
        <f>AVERAGE(BH$21:BH$25)</f>
        <v>0.85921369914279677</v>
      </c>
      <c r="G24" s="405">
        <f>STDEV(BH$21:BH$25)</f>
        <v>1.5951650537860347</v>
      </c>
      <c r="H24" s="405">
        <v>3.1903301075720694</v>
      </c>
      <c r="I24" s="438">
        <f>AVERAGE(BH$26:BH$30)</f>
        <v>33.708775719425169</v>
      </c>
      <c r="J24" s="438">
        <f>STDEV(BH$26:BH$30)</f>
        <v>11.791437248610496</v>
      </c>
      <c r="K24" s="438">
        <v>23.582874497220992</v>
      </c>
      <c r="L24" s="1324">
        <v>4.0588834222413546</v>
      </c>
      <c r="M24" s="749">
        <v>1.4249687135271087</v>
      </c>
      <c r="N24" s="861">
        <v>2.8499374270542175</v>
      </c>
      <c r="O24" s="407">
        <v>0.54</v>
      </c>
      <c r="P24" s="404">
        <v>-0.70699999999999996</v>
      </c>
      <c r="Q24" s="779">
        <v>0.43392875400000003</v>
      </c>
      <c r="R24" s="749">
        <f t="shared" si="0"/>
        <v>0.23343791604634864</v>
      </c>
      <c r="S24" s="749" cm="1">
        <f t="array" ref="S24:S32">O24:O32*(((1-(2*C46))/(1-C46))^P24:P32)</f>
        <v>1.4363473932377122</v>
      </c>
      <c r="T24" s="749" cm="1">
        <f t="array" ref="T24:T32">O24:O32*(((1-(2*C47))/(1-C47))^P24:P32)</f>
        <v>1.5974986136193696</v>
      </c>
      <c r="U24" s="749">
        <v>7.4068621609904239E-2</v>
      </c>
      <c r="V24" s="749">
        <v>8.7082598771753172E-2</v>
      </c>
      <c r="W24" s="889">
        <f t="shared" si="1"/>
        <v>1.5104160148476165</v>
      </c>
      <c r="X24" s="749">
        <f t="shared" si="2"/>
        <v>2.6872619082040448</v>
      </c>
      <c r="Y24" s="749">
        <f t="shared" si="3"/>
        <v>0.94342796919487892</v>
      </c>
      <c r="Z24" s="749"/>
      <c r="AA24" s="749"/>
      <c r="AB24" s="868">
        <v>159.23860512015412</v>
      </c>
      <c r="AC24" s="571">
        <v>295.67112109757147</v>
      </c>
      <c r="AD24" s="571">
        <v>591.34224219514294</v>
      </c>
      <c r="AE24" s="749"/>
      <c r="AF24" s="749"/>
      <c r="AG24" s="868">
        <v>2.5489317864714454E-2</v>
      </c>
      <c r="AH24" s="571">
        <v>4.815461062396853E-2</v>
      </c>
      <c r="AI24" s="862">
        <v>9.630922124793706E-2</v>
      </c>
      <c r="AJ24" s="407" t="s">
        <v>830</v>
      </c>
      <c r="AL24" s="1193" t="s">
        <v>972</v>
      </c>
      <c r="AM24" s="1169">
        <v>217.48579967160592</v>
      </c>
      <c r="AN24" s="1171">
        <v>2.7273952570153623</v>
      </c>
      <c r="AO24" s="1194" t="s">
        <v>1027</v>
      </c>
      <c r="AP24" s="1169">
        <v>365370.77005196229</v>
      </c>
      <c r="AQ24" s="1169">
        <v>91.041463195369687</v>
      </c>
      <c r="AR24" s="1170">
        <v>22900</v>
      </c>
      <c r="AS24" s="1169">
        <v>25886.328684263022</v>
      </c>
      <c r="AT24" s="1169">
        <v>129.90447572513699</v>
      </c>
      <c r="AU24" s="1169">
        <v>63.031403658175357</v>
      </c>
      <c r="AV24" s="1169">
        <v>41.402194756940581</v>
      </c>
      <c r="AW24" s="1171">
        <v>2.4332080801777689</v>
      </c>
      <c r="AX24" s="1171">
        <v>2.6210982272611933</v>
      </c>
      <c r="AY24" s="1171">
        <v>9.3071682261962945</v>
      </c>
      <c r="AZ24" s="1194" t="s">
        <v>454</v>
      </c>
      <c r="BA24" s="1171">
        <v>6.3281839027251454</v>
      </c>
      <c r="BB24" s="1169">
        <v>162.56643308361456</v>
      </c>
      <c r="BC24" s="1169">
        <v>130.50187717635728</v>
      </c>
      <c r="BD24" s="1171">
        <v>1.9710900324461713</v>
      </c>
      <c r="BE24" s="1171">
        <v>3.7819384716645184</v>
      </c>
      <c r="BF24" s="1171">
        <v>3.4391332838251638</v>
      </c>
      <c r="BG24" s="1194" t="s">
        <v>1026</v>
      </c>
      <c r="BH24" s="1171">
        <v>3.7109764838743371</v>
      </c>
      <c r="BI24" s="1168"/>
      <c r="BJ24" s="1168"/>
      <c r="BK24" s="1171">
        <v>1.0237650287978466</v>
      </c>
      <c r="BL24" s="1169"/>
      <c r="BM24" s="1169"/>
      <c r="BN24" s="1385">
        <v>1.0037796551311008E-3</v>
      </c>
      <c r="BO24" s="1384">
        <v>2.9915129282296293E-2</v>
      </c>
      <c r="BP24" s="1171">
        <v>6.8819479429521273</v>
      </c>
      <c r="BQ24" s="1168"/>
      <c r="BR24" s="1168"/>
      <c r="BS24" s="1175"/>
      <c r="BT24" s="1176">
        <v>32.5889987945557</v>
      </c>
      <c r="BU24" s="1177">
        <v>3.4884416118670236</v>
      </c>
      <c r="BV24" s="1175"/>
      <c r="BW24" s="1175" t="s">
        <v>970</v>
      </c>
    </row>
    <row r="25" spans="1:76" ht="17">
      <c r="A25" s="435" t="s">
        <v>313</v>
      </c>
      <c r="B25" s="435" t="s">
        <v>428</v>
      </c>
      <c r="C25" s="1453">
        <f>AVERAGE(BI$52:BI$56)</f>
        <v>417.76113016025022</v>
      </c>
      <c r="D25" s="434">
        <f>STDEV(BI$52:BI$56)</f>
        <v>11.481911354547609</v>
      </c>
      <c r="E25" s="1453">
        <v>22.963822709095218</v>
      </c>
      <c r="F25" s="802">
        <f>AVERAGE(BI$57:BI$61)</f>
        <v>3.1312489444578926</v>
      </c>
      <c r="G25" s="802">
        <f>STDEV(BI$57:BI$61)</f>
        <v>5.429138372477559</v>
      </c>
      <c r="H25" s="802">
        <v>10.858276744955118</v>
      </c>
      <c r="I25" s="1453">
        <f>AVERAGE(BI$62:BI$66)</f>
        <v>159.0638797941713</v>
      </c>
      <c r="J25" s="434">
        <f>STDEV(BI$62:BI$66)</f>
        <v>23.683036019984499</v>
      </c>
      <c r="K25" s="1453">
        <v>47.366072039968998</v>
      </c>
      <c r="L25" s="930">
        <v>2.6263733205856239</v>
      </c>
      <c r="M25" s="570">
        <v>0.39764759620280304</v>
      </c>
      <c r="N25" s="879">
        <v>0.79529519240560609</v>
      </c>
      <c r="O25" s="435">
        <v>0.13</v>
      </c>
      <c r="P25" s="433">
        <v>-0.84</v>
      </c>
      <c r="Q25" s="778">
        <v>0.43392875400000003</v>
      </c>
      <c r="R25" s="570">
        <f t="shared" si="0"/>
        <v>0.23343791604634864</v>
      </c>
      <c r="S25" s="573">
        <v>0.41565625417626539</v>
      </c>
      <c r="T25" s="573">
        <v>0.47163153252392404</v>
      </c>
      <c r="U25" s="573">
        <v>2.5588320327001757E-2</v>
      </c>
      <c r="V25" s="573">
        <v>3.0386958020656885E-2</v>
      </c>
      <c r="W25" s="888">
        <f t="shared" si="1"/>
        <v>0.44124457450326715</v>
      </c>
      <c r="X25" s="573">
        <f t="shared" si="2"/>
        <v>5.9521940265039497</v>
      </c>
      <c r="Y25" s="570">
        <f t="shared" si="3"/>
        <v>0.90119543486842046</v>
      </c>
      <c r="Z25" s="570"/>
      <c r="AA25" s="570"/>
      <c r="AB25" s="868">
        <v>133.41677316958791</v>
      </c>
      <c r="AC25" s="571">
        <v>231.35468727015615</v>
      </c>
      <c r="AD25" s="571">
        <v>462.7093745403123</v>
      </c>
      <c r="AE25" s="570"/>
      <c r="AF25" s="570"/>
      <c r="AG25" s="868">
        <v>1.9685480754711437E-2</v>
      </c>
      <c r="AH25" s="571">
        <v>3.4257424949085777E-2</v>
      </c>
      <c r="AI25" s="862">
        <v>6.8514849898171554E-2</v>
      </c>
      <c r="AJ25" s="435" t="s">
        <v>428</v>
      </c>
      <c r="AL25" s="1193" t="s">
        <v>969</v>
      </c>
      <c r="AM25" s="1169">
        <v>19254.174221072797</v>
      </c>
      <c r="AN25" s="1169">
        <v>95.280318961802024</v>
      </c>
      <c r="AO25" s="1194" t="s">
        <v>1025</v>
      </c>
      <c r="AP25" s="1169">
        <v>776061.8095367091</v>
      </c>
      <c r="AQ25" s="1169">
        <v>133.51387198273756</v>
      </c>
      <c r="AR25" s="1170">
        <v>22900</v>
      </c>
      <c r="AS25" s="1169">
        <v>23061.488983235511</v>
      </c>
      <c r="AT25" s="1169">
        <v>253.80162907176543</v>
      </c>
      <c r="AU25" s="1169">
        <v>164.08137867811226</v>
      </c>
      <c r="AV25" s="1169">
        <v>126.34336465507303</v>
      </c>
      <c r="AW25" s="1169">
        <v>16.175529562953493</v>
      </c>
      <c r="AX25" s="1169">
        <v>17.07934932948611</v>
      </c>
      <c r="AY25" s="1169">
        <v>15.977794056581969</v>
      </c>
      <c r="AZ25" s="1194" t="s">
        <v>741</v>
      </c>
      <c r="BA25" s="1194" t="s">
        <v>712</v>
      </c>
      <c r="BB25" s="1169">
        <v>372.15264854493699</v>
      </c>
      <c r="BC25" s="1169">
        <v>289.62969987766678</v>
      </c>
      <c r="BD25" s="1168">
        <v>0.21959845485266866</v>
      </c>
      <c r="BE25" s="1168">
        <v>9.1101844056191664E-2</v>
      </c>
      <c r="BF25" s="1168">
        <v>0.12698167890088954</v>
      </c>
      <c r="BG25" s="1194" t="s">
        <v>1024</v>
      </c>
      <c r="BH25" s="1168">
        <v>0.21117896630161204</v>
      </c>
      <c r="BI25" s="1168"/>
      <c r="BJ25" s="1168"/>
      <c r="BK25" s="1171">
        <v>6.7286512833636047</v>
      </c>
      <c r="BL25" s="1169"/>
      <c r="BM25" s="1169"/>
      <c r="BN25" s="1169"/>
      <c r="BO25" s="1169"/>
      <c r="BP25" s="1168">
        <v>0.48547796388823622</v>
      </c>
      <c r="BQ25" s="1168"/>
      <c r="BR25" s="1168"/>
      <c r="BS25" s="1175"/>
      <c r="BT25" s="1176">
        <v>43.451000213623097</v>
      </c>
      <c r="BU25" s="1177">
        <v>1.9540641161608534</v>
      </c>
      <c r="BV25" s="1175"/>
      <c r="BW25" s="1175" t="s">
        <v>967</v>
      </c>
    </row>
    <row r="26" spans="1:76" ht="17">
      <c r="A26" s="435" t="s">
        <v>313</v>
      </c>
      <c r="B26" s="435" t="s">
        <v>20</v>
      </c>
      <c r="C26" s="1453">
        <f>AVERAGE(BJ$52:BJ$56)</f>
        <v>271.48596744978784</v>
      </c>
      <c r="D26" s="434">
        <f>STDEV(BJ$52:BJ$56)</f>
        <v>14.036963156644756</v>
      </c>
      <c r="E26" s="1453">
        <v>28.073926313289512</v>
      </c>
      <c r="F26" s="1558">
        <f>AVERAGE(BJ$57:BJ$61)</f>
        <v>1.9025980527486863</v>
      </c>
      <c r="G26" s="802">
        <f>STDEV(BJ$57:BJ$61)</f>
        <v>2.7722258839939529</v>
      </c>
      <c r="H26" s="1558">
        <v>5.5444517679879057</v>
      </c>
      <c r="I26" s="1453">
        <f>AVERAGE(BJ$62:BJ$66)</f>
        <v>142.8653251010094</v>
      </c>
      <c r="J26" s="434">
        <f>STDEV(BJ$62:BJ$66)</f>
        <v>23.885580818040548</v>
      </c>
      <c r="K26" s="1453">
        <v>47.771161636081096</v>
      </c>
      <c r="L26" s="930">
        <v>1.9002929315272294</v>
      </c>
      <c r="M26" s="570">
        <v>0.33255478775548336</v>
      </c>
      <c r="N26" s="879">
        <v>0.66510957551096672</v>
      </c>
      <c r="O26" s="435">
        <v>0.12</v>
      </c>
      <c r="P26" s="433">
        <v>-0.61</v>
      </c>
      <c r="Q26" s="778">
        <v>0.43392875400000003</v>
      </c>
      <c r="R26" s="570">
        <f t="shared" si="0"/>
        <v>0.23343791604634864</v>
      </c>
      <c r="S26" s="573">
        <v>0.27909730242185693</v>
      </c>
      <c r="T26" s="573">
        <v>0.3059149006251059</v>
      </c>
      <c r="U26" s="573">
        <v>1.2374598636652745E-2</v>
      </c>
      <c r="V26" s="573">
        <v>1.4442999566596226E-2</v>
      </c>
      <c r="W26" s="888">
        <f t="shared" si="1"/>
        <v>0.29147190105850967</v>
      </c>
      <c r="X26" s="573">
        <f t="shared" si="2"/>
        <v>6.5196436590495468</v>
      </c>
      <c r="Y26" s="570">
        <f t="shared" si="3"/>
        <v>1.1409497332256626</v>
      </c>
      <c r="Z26" s="570"/>
      <c r="AA26" s="570">
        <f>C26/AVERAGE(BJ57,BJ58,BJ60,BJ61)</f>
        <v>142.69223447252648</v>
      </c>
      <c r="AB26" s="868">
        <v>142.69223447252648</v>
      </c>
      <c r="AC26" s="571">
        <v>208.04398354159787</v>
      </c>
      <c r="AD26" s="571">
        <v>416.08796708319574</v>
      </c>
      <c r="AE26" s="570">
        <f>AVERAGE(BJ57,BJ58,0.12,BJ60,BJ61)/I26</f>
        <v>1.082192926174236E-2</v>
      </c>
      <c r="AF26" s="570"/>
      <c r="AG26" s="868">
        <v>1.3317423604387568E-2</v>
      </c>
      <c r="AH26" s="571">
        <v>1.9531791979193393E-2</v>
      </c>
      <c r="AI26" s="862">
        <v>3.9063583958386786E-2</v>
      </c>
      <c r="AJ26" s="435" t="s">
        <v>20</v>
      </c>
      <c r="AL26" s="1195" t="s">
        <v>966</v>
      </c>
      <c r="AM26" s="949">
        <v>443.99251916784584</v>
      </c>
      <c r="AN26" s="958" t="s">
        <v>712</v>
      </c>
      <c r="AO26" s="958" t="s">
        <v>1023</v>
      </c>
      <c r="AP26" s="949">
        <v>496399.51643204049</v>
      </c>
      <c r="AQ26" s="949">
        <v>262.8321012026704</v>
      </c>
      <c r="AR26" s="948">
        <v>213700</v>
      </c>
      <c r="AS26" s="949">
        <v>227066.59545788579</v>
      </c>
      <c r="AT26" s="949">
        <v>1263.3412272290921</v>
      </c>
      <c r="AU26" s="949">
        <v>120.79132249769775</v>
      </c>
      <c r="AV26" s="949">
        <v>78.768049128597454</v>
      </c>
      <c r="AW26" s="947">
        <v>1.7328115674015523</v>
      </c>
      <c r="AX26" s="947">
        <v>1.3409949364535501</v>
      </c>
      <c r="AY26" s="949">
        <v>12.012761463110497</v>
      </c>
      <c r="AZ26" s="958" t="s">
        <v>1022</v>
      </c>
      <c r="BA26" s="949">
        <v>31.150112915424824</v>
      </c>
      <c r="BB26" s="949">
        <v>165.8452643391785</v>
      </c>
      <c r="BC26" s="949">
        <v>129.79379538721346</v>
      </c>
      <c r="BD26" s="947">
        <v>2.6991018800649038</v>
      </c>
      <c r="BE26" s="947">
        <v>3.2174040737968639</v>
      </c>
      <c r="BF26" s="949">
        <v>20.658258097555539</v>
      </c>
      <c r="BG26" s="958" t="s">
        <v>1021</v>
      </c>
      <c r="BH26" s="949">
        <v>25.192641135766479</v>
      </c>
      <c r="BI26" s="946"/>
      <c r="BJ26" s="946"/>
      <c r="BK26" s="947">
        <v>2.8716958147193328</v>
      </c>
      <c r="BL26" s="946">
        <v>5.2661426964355919E-2</v>
      </c>
      <c r="BM26" s="946">
        <v>3.6139464298937898E-2</v>
      </c>
      <c r="BN26" s="946">
        <v>5.6209673948133816E-2</v>
      </c>
      <c r="BO26" s="946">
        <v>0.28824140930655323</v>
      </c>
      <c r="BP26" s="949">
        <v>23.755424367883798</v>
      </c>
      <c r="BQ26" s="946"/>
      <c r="BR26" s="946"/>
      <c r="BS26" s="951"/>
      <c r="BT26" s="952">
        <v>46.166000366210994</v>
      </c>
      <c r="BU26" s="953">
        <v>2.6792919483539399</v>
      </c>
      <c r="BV26" s="951"/>
      <c r="BW26" s="951" t="s">
        <v>965</v>
      </c>
      <c r="BX26" s="1261"/>
    </row>
    <row r="27" spans="1:76" ht="18" thickBot="1">
      <c r="A27" s="407" t="s">
        <v>270</v>
      </c>
      <c r="B27" s="407" t="s">
        <v>422</v>
      </c>
      <c r="C27" s="1455">
        <f>AVERAGE(BK$16:BK$20)</f>
        <v>139.05797494540138</v>
      </c>
      <c r="D27" s="438">
        <f>STDEV(BK$16:BK$20)</f>
        <v>3.8439108978142129</v>
      </c>
      <c r="E27" s="1455">
        <v>7.6878217956284258</v>
      </c>
      <c r="F27" s="405">
        <f>AVERAGE(BK$21:BK$25)</f>
        <v>4.7537011040481199</v>
      </c>
      <c r="G27" s="405">
        <f>STDEV(BK$21:BK$25)</f>
        <v>5.6763659583372688</v>
      </c>
      <c r="H27" s="405">
        <v>11.352731916674538</v>
      </c>
      <c r="I27" s="1454">
        <f>AVERAGE(BK$26:BK$30)</f>
        <v>2.7814698929658745</v>
      </c>
      <c r="J27" s="438">
        <f>STDEV(BK$26:BK$30)</f>
        <v>1.1660743818612247</v>
      </c>
      <c r="K27" s="1454">
        <v>2.3321487637224494</v>
      </c>
      <c r="L27" s="1324">
        <v>49.994420323250097</v>
      </c>
      <c r="M27" s="749">
        <v>21.00465023509236</v>
      </c>
      <c r="N27" s="861">
        <v>42.009300470184719</v>
      </c>
      <c r="O27" s="407">
        <v>0.95</v>
      </c>
      <c r="P27" s="404">
        <v>-3.88</v>
      </c>
      <c r="Q27" s="779">
        <v>0.43392875400000003</v>
      </c>
      <c r="R27" s="749">
        <f t="shared" si="0"/>
        <v>0.23343791604634864</v>
      </c>
      <c r="S27" s="749">
        <v>203.88117152751039</v>
      </c>
      <c r="T27" s="749">
        <v>365.44110879625111</v>
      </c>
      <c r="U27" s="749">
        <v>64.788461985708125</v>
      </c>
      <c r="V27" s="749">
        <v>96.771475283032601</v>
      </c>
      <c r="W27" s="889">
        <f t="shared" si="1"/>
        <v>268.66963351321851</v>
      </c>
      <c r="X27" s="749">
        <f t="shared" si="2"/>
        <v>0.18608139546514987</v>
      </c>
      <c r="Y27" s="749">
        <f t="shared" si="3"/>
        <v>7.8180216946843503E-2</v>
      </c>
      <c r="Z27" s="749"/>
      <c r="AA27" s="749"/>
      <c r="AB27" s="868">
        <v>29.252570134664857</v>
      </c>
      <c r="AC27" s="571">
        <v>34.939676631075564</v>
      </c>
      <c r="AD27" s="571">
        <v>69.879353262151128</v>
      </c>
      <c r="AE27" s="749"/>
      <c r="AF27" s="749"/>
      <c r="AG27" s="868">
        <v>1.7090607797229327</v>
      </c>
      <c r="AH27" s="571">
        <v>2.1628999069766759</v>
      </c>
      <c r="AI27" s="862">
        <v>4.3257998139533518</v>
      </c>
      <c r="AJ27" s="407" t="s">
        <v>422</v>
      </c>
      <c r="AL27" s="1195" t="s">
        <v>964</v>
      </c>
      <c r="AM27" s="949">
        <v>361.83156401007835</v>
      </c>
      <c r="AN27" s="958" t="s">
        <v>114</v>
      </c>
      <c r="AO27" s="958" t="s">
        <v>1020</v>
      </c>
      <c r="AP27" s="949">
        <v>612530.04525851819</v>
      </c>
      <c r="AQ27" s="949">
        <v>295.1554100661865</v>
      </c>
      <c r="AR27" s="948">
        <v>213700</v>
      </c>
      <c r="AS27" s="949">
        <v>212294.58381447697</v>
      </c>
      <c r="AT27" s="949">
        <v>1100.960147360458</v>
      </c>
      <c r="AU27" s="949">
        <v>118.70307330689481</v>
      </c>
      <c r="AV27" s="949">
        <v>87.092019084672529</v>
      </c>
      <c r="AW27" s="946">
        <v>0.79260662377210911</v>
      </c>
      <c r="AX27" s="947">
        <v>0.6326548083431508</v>
      </c>
      <c r="AY27" s="949">
        <v>13.318503709365174</v>
      </c>
      <c r="AZ27" s="958" t="s">
        <v>1019</v>
      </c>
      <c r="BA27" s="949">
        <v>27.866001638497554</v>
      </c>
      <c r="BB27" s="949">
        <v>185.19027680204249</v>
      </c>
      <c r="BC27" s="949">
        <v>151.78795084583044</v>
      </c>
      <c r="BD27" s="947">
        <v>2.0199358856191276</v>
      </c>
      <c r="BE27" s="947">
        <v>1.637654682824127</v>
      </c>
      <c r="BF27" s="949">
        <v>39.641232465797515</v>
      </c>
      <c r="BG27" s="958" t="s">
        <v>685</v>
      </c>
      <c r="BH27" s="949">
        <v>48.515803883184219</v>
      </c>
      <c r="BI27" s="946"/>
      <c r="BJ27" s="946"/>
      <c r="BK27" s="947">
        <v>1.5350824763560302</v>
      </c>
      <c r="BL27" s="955" t="s">
        <v>104</v>
      </c>
      <c r="BM27" s="946">
        <v>2.1912706923425649E-2</v>
      </c>
      <c r="BN27" s="946">
        <v>4.1017004614447225E-2</v>
      </c>
      <c r="BO27" s="946">
        <v>0.13456912198011697</v>
      </c>
      <c r="BP27" s="949">
        <v>25.44743602578075</v>
      </c>
      <c r="BQ27" s="946"/>
      <c r="BR27" s="946"/>
      <c r="BS27" s="951"/>
      <c r="BT27" s="952">
        <v>45.488002777099595</v>
      </c>
      <c r="BU27" s="953">
        <v>2.2413777960707488</v>
      </c>
      <c r="BV27" s="951"/>
      <c r="BW27" s="951" t="s">
        <v>961</v>
      </c>
      <c r="BX27" s="1261"/>
    </row>
    <row r="28" spans="1:76" ht="17">
      <c r="A28" s="407" t="s">
        <v>270</v>
      </c>
      <c r="B28" s="407" t="s">
        <v>22</v>
      </c>
      <c r="C28" s="1555">
        <f>AVERAGE(BL$16:BL$20)</f>
        <v>62.783994769255642</v>
      </c>
      <c r="D28" s="405">
        <f>STDEV(BL$16:BL$20)</f>
        <v>46.642330345494273</v>
      </c>
      <c r="E28" s="1555">
        <v>93.284660690988545</v>
      </c>
      <c r="F28" s="782">
        <f>AVERAGE(BL$21:BL$25)</f>
        <v>4.0997660398877419E-3</v>
      </c>
      <c r="G28" s="783">
        <f>STDEV(BL$21:BL$25)</f>
        <v>3.0361175867130406E-3</v>
      </c>
      <c r="H28" s="782">
        <v>6.0722351734260813E-3</v>
      </c>
      <c r="I28" s="438">
        <f>AVERAGE(BL$26:BL$30)</f>
        <v>4.0584949037912016E-2</v>
      </c>
      <c r="J28" s="438">
        <f>STDEV(BL$26:BL$30)</f>
        <v>1.1755059775096567E-2</v>
      </c>
      <c r="K28" s="438">
        <v>2.3510119550193134E-2</v>
      </c>
      <c r="L28" s="1323">
        <v>1546.9772971898183</v>
      </c>
      <c r="M28" s="571">
        <v>1233.5091217436875</v>
      </c>
      <c r="N28" s="862">
        <v>2467.018243487375</v>
      </c>
      <c r="O28" s="407">
        <v>1.65</v>
      </c>
      <c r="P28" s="404">
        <v>-5.08</v>
      </c>
      <c r="Q28" s="779">
        <v>0.43392875400000003</v>
      </c>
      <c r="R28" s="749">
        <f t="shared" si="0"/>
        <v>0.23343791604634864</v>
      </c>
      <c r="S28" s="749">
        <v>1863.2340513251327</v>
      </c>
      <c r="T28" s="749">
        <v>4000.2882228610029</v>
      </c>
      <c r="U28" s="749">
        <v>810.83886147883754</v>
      </c>
      <c r="V28" s="749">
        <v>1326.2153100570326</v>
      </c>
      <c r="W28" s="889">
        <f t="shared" si="1"/>
        <v>2674.0729128039702</v>
      </c>
      <c r="X28" s="749">
        <f t="shared" si="2"/>
        <v>0.57850976679902644</v>
      </c>
      <c r="Y28" s="749">
        <f t="shared" si="3"/>
        <v>0.46128477493542192</v>
      </c>
      <c r="Z28" s="749"/>
      <c r="AA28" s="749">
        <f>C28/AVERAGE(BL21,BL22)</f>
        <v>15314.043327939457</v>
      </c>
      <c r="AB28" s="868">
        <v>15314.043327939457</v>
      </c>
      <c r="AC28" s="571">
        <v>16063.913508945039</v>
      </c>
      <c r="AD28" s="571">
        <v>32127.827017890078</v>
      </c>
      <c r="AE28" s="749">
        <f>AVERAGE(BL21,BL22)/I28</f>
        <v>0.1010169074268884</v>
      </c>
      <c r="AF28" s="749"/>
      <c r="AG28" s="868">
        <v>0.1010169074268884</v>
      </c>
      <c r="AH28" s="571">
        <v>8.0327123135798706E-2</v>
      </c>
      <c r="AI28" s="862">
        <v>0.16065424627159741</v>
      </c>
      <c r="AJ28" s="407" t="s">
        <v>22</v>
      </c>
      <c r="AL28" s="1196" t="s">
        <v>960</v>
      </c>
      <c r="AM28" s="1197"/>
      <c r="AN28" s="1198" t="s">
        <v>683</v>
      </c>
      <c r="AO28" s="1197"/>
      <c r="AP28" s="1199">
        <v>473937.94667238288</v>
      </c>
      <c r="AQ28" s="1199">
        <v>236.65605054055573</v>
      </c>
      <c r="AR28" s="1200">
        <v>213700</v>
      </c>
      <c r="AS28" s="1199">
        <v>224301.48719473634</v>
      </c>
      <c r="AT28" s="1199">
        <v>1254.9981778631111</v>
      </c>
      <c r="AU28" s="1199"/>
      <c r="AV28" s="1197"/>
      <c r="AW28" s="1201">
        <v>1.3942208806118668</v>
      </c>
      <c r="AX28" s="1201">
        <v>1.0315258928082607</v>
      </c>
      <c r="AY28" s="1201">
        <v>9.0037969480383637</v>
      </c>
      <c r="AZ28" s="1198" t="s">
        <v>1018</v>
      </c>
      <c r="BA28" s="1199">
        <v>31.580752406945539</v>
      </c>
      <c r="BB28" s="1199">
        <v>128.78632519706298</v>
      </c>
      <c r="BC28" s="1199">
        <v>104.89142324988246</v>
      </c>
      <c r="BD28" s="1201">
        <v>2.1109993708705059</v>
      </c>
      <c r="BE28" s="1201">
        <v>1.8787663711601656</v>
      </c>
      <c r="BF28" s="1199">
        <v>23.845184032344392</v>
      </c>
      <c r="BG28" s="1199"/>
      <c r="BH28" s="1199">
        <v>32.592856848379064</v>
      </c>
      <c r="BI28" s="1197"/>
      <c r="BJ28" s="1197"/>
      <c r="BK28" s="1201">
        <v>2.1623835717642312</v>
      </c>
      <c r="BL28" s="1197">
        <v>2.9180105842479653E-2</v>
      </c>
      <c r="BM28" s="1197">
        <v>2.278057138766339E-2</v>
      </c>
      <c r="BN28" s="1197">
        <v>2.5659508044159271E-2</v>
      </c>
      <c r="BO28" s="1197">
        <v>0.12433304554984437</v>
      </c>
      <c r="BP28" s="1199">
        <v>17.961686552743181</v>
      </c>
      <c r="BQ28" s="1197"/>
      <c r="BR28" s="1197"/>
      <c r="BS28" s="1202"/>
      <c r="BT28" s="1203">
        <v>44.130001068115298</v>
      </c>
      <c r="BU28" s="1204">
        <v>2.5198630074435715</v>
      </c>
      <c r="BV28" s="1202"/>
      <c r="BW28" s="1205" t="s">
        <v>959</v>
      </c>
      <c r="BX28" s="1261"/>
    </row>
    <row r="29" spans="1:76" ht="17">
      <c r="A29" s="407" t="s">
        <v>270</v>
      </c>
      <c r="B29" s="407" t="s">
        <v>23</v>
      </c>
      <c r="C29" s="1555">
        <f>AVERAGE(BM$16:BM$20)</f>
        <v>99.546654131194231</v>
      </c>
      <c r="D29" s="405">
        <f>STDEV(BM$16:BM$20)</f>
        <v>66.379499139433179</v>
      </c>
      <c r="E29" s="1555">
        <v>132.75899827886636</v>
      </c>
      <c r="F29" s="1554">
        <f>AVERAGE(BM$21:BM$25)</f>
        <v>0.72137869745281458</v>
      </c>
      <c r="G29" s="405">
        <f>STDEV(BM$21:BM$25)</f>
        <v>1.0132616431223471</v>
      </c>
      <c r="H29" s="1554">
        <v>2.0265232862446942</v>
      </c>
      <c r="I29" s="438">
        <f>AVERAGE(BM$26:BM$30)</f>
        <v>2.6644340681147283E-2</v>
      </c>
      <c r="J29" s="438">
        <f>STDEV(BM$26:BM$30)</f>
        <v>8.294113373423893E-3</v>
      </c>
      <c r="K29" s="438">
        <v>1.6588226746847786E-2</v>
      </c>
      <c r="L29" s="1323">
        <v>3736.1275072432318</v>
      </c>
      <c r="M29" s="571">
        <v>2749.4131774443763</v>
      </c>
      <c r="N29" s="862">
        <v>5498.8263548887526</v>
      </c>
      <c r="O29" s="407">
        <v>1.71</v>
      </c>
      <c r="P29" s="404">
        <v>-5.34</v>
      </c>
      <c r="Q29" s="779">
        <v>0.43392875400000003</v>
      </c>
      <c r="R29" s="749">
        <f t="shared" si="0"/>
        <v>0.23343791604634864</v>
      </c>
      <c r="S29" s="749">
        <v>2767.0971169070876</v>
      </c>
      <c r="T29" s="749">
        <v>6177.7650085420701</v>
      </c>
      <c r="U29" s="749">
        <v>1278.2970846337944</v>
      </c>
      <c r="V29" s="749">
        <v>2132.370807001188</v>
      </c>
      <c r="W29" s="889">
        <f t="shared" si="1"/>
        <v>4045.394201540882</v>
      </c>
      <c r="X29" s="749">
        <f t="shared" si="2"/>
        <v>0.92355091274421386</v>
      </c>
      <c r="Y29" s="749">
        <f t="shared" si="3"/>
        <v>0.6796403614750649</v>
      </c>
      <c r="Z29" s="749"/>
      <c r="AA29" s="749">
        <f>C29/AVERAGE(BM21,BM23)</f>
        <v>137.99500107598558</v>
      </c>
      <c r="AB29" s="868">
        <v>137.99500107598558</v>
      </c>
      <c r="AC29" s="571">
        <v>214.56330114522677</v>
      </c>
      <c r="AD29" s="571">
        <v>429.12660229045355</v>
      </c>
      <c r="AE29" s="1538">
        <f>AVERAGE(BM21,BM23)/I29</f>
        <v>27.074368477927472</v>
      </c>
      <c r="AF29" s="749"/>
      <c r="AG29" s="868">
        <v>27.074368477927472</v>
      </c>
      <c r="AH29" s="571">
        <v>38.951855956693514</v>
      </c>
      <c r="AI29" s="862">
        <v>77.903711913387028</v>
      </c>
      <c r="AJ29" s="407" t="s">
        <v>23</v>
      </c>
      <c r="AL29" s="1206" t="s">
        <v>958</v>
      </c>
      <c r="AM29" s="949"/>
      <c r="AN29" s="955" t="s">
        <v>164</v>
      </c>
      <c r="AO29" s="946"/>
      <c r="AP29" s="949">
        <v>551007.57275225013</v>
      </c>
      <c r="AQ29" s="949">
        <v>247.19546606086323</v>
      </c>
      <c r="AR29" s="948">
        <v>213700</v>
      </c>
      <c r="AS29" s="949">
        <v>227497.43950610384</v>
      </c>
      <c r="AT29" s="949">
        <v>1447.4286685698244</v>
      </c>
      <c r="AU29" s="949"/>
      <c r="AV29" s="946"/>
      <c r="AW29" s="947">
        <v>1.4904755201282176</v>
      </c>
      <c r="AX29" s="946">
        <v>0.88279614099203507</v>
      </c>
      <c r="AY29" s="949">
        <v>11.032316821957616</v>
      </c>
      <c r="AZ29" s="955" t="s">
        <v>1017</v>
      </c>
      <c r="BA29" s="949">
        <v>32.758012407293883</v>
      </c>
      <c r="BB29" s="949">
        <v>167.2984552791911</v>
      </c>
      <c r="BC29" s="949">
        <v>133.56208199563142</v>
      </c>
      <c r="BD29" s="947">
        <v>2.161519142425651</v>
      </c>
      <c r="BE29" s="947">
        <v>1.7162801520397635</v>
      </c>
      <c r="BF29" s="949">
        <v>15.372655551700113</v>
      </c>
      <c r="BG29" s="949"/>
      <c r="BH29" s="949">
        <v>19.946676923870161</v>
      </c>
      <c r="BI29" s="946"/>
      <c r="BJ29" s="946"/>
      <c r="BK29" s="947">
        <v>2.6897380766576742</v>
      </c>
      <c r="BL29" s="955" t="s">
        <v>58</v>
      </c>
      <c r="BM29" s="946">
        <v>3.4776149069164028E-2</v>
      </c>
      <c r="BN29" s="946">
        <v>4.69239571573409E-2</v>
      </c>
      <c r="BO29" s="946">
        <v>0.18451405638535759</v>
      </c>
      <c r="BP29" s="949">
        <v>17.122553948994916</v>
      </c>
      <c r="BQ29" s="946"/>
      <c r="BR29" s="946"/>
      <c r="BS29" s="951"/>
      <c r="BT29" s="952">
        <v>44.809001922607393</v>
      </c>
      <c r="BU29" s="953">
        <v>2.4623755028230483</v>
      </c>
      <c r="BV29" s="951"/>
      <c r="BW29" s="1207" t="s">
        <v>955</v>
      </c>
      <c r="BX29" s="1261"/>
    </row>
    <row r="30" spans="1:76" ht="18" thickBot="1">
      <c r="A30" s="407" t="s">
        <v>270</v>
      </c>
      <c r="B30" s="407" t="s">
        <v>24</v>
      </c>
      <c r="C30" s="1555">
        <f>AVERAGE(BN$16:BN$20)</f>
        <v>104.46362570144495</v>
      </c>
      <c r="D30" s="405">
        <f>STDEV(BN$16:BN$20)</f>
        <v>137.21595832119175</v>
      </c>
      <c r="E30" s="1555">
        <v>274.4319166423835</v>
      </c>
      <c r="F30" s="782">
        <f>AVERAGE(BN$21:BN$25)</f>
        <v>1.6282344698339522E-3</v>
      </c>
      <c r="G30" s="783">
        <f>STDEV(BN$21:BN$25)</f>
        <v>1.1805258467751476E-3</v>
      </c>
      <c r="H30" s="782">
        <v>2.3610516935502952E-3</v>
      </c>
      <c r="I30" s="438">
        <f>AVERAGE(BN$26:BN$30)</f>
        <v>5.0966190859365643E-2</v>
      </c>
      <c r="J30" s="438">
        <f>STDEV(BN$26:BN$30)</f>
        <v>2.2039540554127789E-2</v>
      </c>
      <c r="K30" s="438">
        <v>4.4079081108255577E-2</v>
      </c>
      <c r="L30" s="1323">
        <v>2049.6651591973646</v>
      </c>
      <c r="M30" s="571">
        <v>2834.440855055168</v>
      </c>
      <c r="N30" s="862">
        <v>5668.8817101103359</v>
      </c>
      <c r="O30" s="407">
        <v>1.49</v>
      </c>
      <c r="P30" s="404">
        <v>-5.04</v>
      </c>
      <c r="Q30" s="779">
        <v>0.43392875400000003</v>
      </c>
      <c r="R30" s="749">
        <f t="shared" si="0"/>
        <v>0.23343791604634864</v>
      </c>
      <c r="S30" s="749">
        <v>1591.9597076670873</v>
      </c>
      <c r="T30" s="749">
        <v>3397.3724157917059</v>
      </c>
      <c r="U30" s="749">
        <v>686.29577932077859</v>
      </c>
      <c r="V30" s="749">
        <v>1119.11692880384</v>
      </c>
      <c r="W30" s="889">
        <f t="shared" si="1"/>
        <v>2278.2554869878659</v>
      </c>
      <c r="X30" s="749">
        <f t="shared" si="2"/>
        <v>0.89966431372772604</v>
      </c>
      <c r="Y30" s="749">
        <f t="shared" si="3"/>
        <v>1.2441277421447792</v>
      </c>
      <c r="Z30" s="749"/>
      <c r="AA30" s="749">
        <f>C30/AVERAGE(BN21,BN23,BN24)</f>
        <v>64157.606067692563</v>
      </c>
      <c r="AB30" s="868">
        <v>64157.606067692563</v>
      </c>
      <c r="AC30" s="571">
        <v>96258.478570412335</v>
      </c>
      <c r="AD30" s="571">
        <v>192516.95714082467</v>
      </c>
      <c r="AE30" s="749"/>
      <c r="AF30" s="749"/>
      <c r="AG30" s="868">
        <v>3.194734474716477E-2</v>
      </c>
      <c r="AH30" s="571">
        <v>2.696996209260354E-2</v>
      </c>
      <c r="AI30" s="862">
        <v>5.3939924185207079E-2</v>
      </c>
      <c r="AJ30" s="407" t="s">
        <v>24</v>
      </c>
      <c r="AL30" s="1208" t="s">
        <v>954</v>
      </c>
      <c r="AM30" s="1209"/>
      <c r="AN30" s="1210" t="s">
        <v>1016</v>
      </c>
      <c r="AO30" s="1209"/>
      <c r="AP30" s="1211">
        <v>651751.4707296975</v>
      </c>
      <c r="AQ30" s="1211">
        <v>312.54866700043328</v>
      </c>
      <c r="AR30" s="1212">
        <v>213700</v>
      </c>
      <c r="AS30" s="1211">
        <v>218421.31840700307</v>
      </c>
      <c r="AT30" s="1211">
        <v>1150.7793005529079</v>
      </c>
      <c r="AU30" s="1211"/>
      <c r="AV30" s="1209"/>
      <c r="AW30" s="1213">
        <v>2.9544229071661587</v>
      </c>
      <c r="AX30" s="1213">
        <v>2.980774742598705</v>
      </c>
      <c r="AY30" s="1211">
        <v>11.852900096925648</v>
      </c>
      <c r="AZ30" s="1210" t="s">
        <v>1015</v>
      </c>
      <c r="BA30" s="1211">
        <v>35.969434568243507</v>
      </c>
      <c r="BB30" s="1211">
        <v>193.07150336534457</v>
      </c>
      <c r="BC30" s="1211">
        <v>158.38976569268704</v>
      </c>
      <c r="BD30" s="1213">
        <v>3.0755810274639233</v>
      </c>
      <c r="BE30" s="1213">
        <v>3.6571908371023518</v>
      </c>
      <c r="BF30" s="1211">
        <v>33.112035730922962</v>
      </c>
      <c r="BG30" s="1211"/>
      <c r="BH30" s="1211">
        <v>42.295899805925934</v>
      </c>
      <c r="BI30" s="1209"/>
      <c r="BJ30" s="1209"/>
      <c r="BK30" s="1213">
        <v>4.6484495253321043</v>
      </c>
      <c r="BL30" s="1209">
        <v>3.9913314306900476E-2</v>
      </c>
      <c r="BM30" s="1209">
        <v>1.7612811726545455E-2</v>
      </c>
      <c r="BN30" s="1209">
        <v>8.5020810532747043E-2</v>
      </c>
      <c r="BO30" s="1209">
        <v>0.22495268958311615</v>
      </c>
      <c r="BP30" s="1211">
        <v>31.094072415423678</v>
      </c>
      <c r="BQ30" s="1209"/>
      <c r="BR30" s="1209"/>
      <c r="BS30" s="1214"/>
      <c r="BT30" s="1215">
        <v>44.129999160766594</v>
      </c>
      <c r="BU30" s="1216">
        <v>2.2060470149118183</v>
      </c>
      <c r="BV30" s="1214"/>
      <c r="BW30" s="1217" t="s">
        <v>952</v>
      </c>
      <c r="BX30" s="1261"/>
    </row>
    <row r="31" spans="1:76">
      <c r="A31" s="407" t="s">
        <v>270</v>
      </c>
      <c r="B31" s="407" t="s">
        <v>25</v>
      </c>
      <c r="C31" s="1455">
        <f>AVERAGE(BO$16:BO$20)</f>
        <v>186.55617564260794</v>
      </c>
      <c r="D31" s="438">
        <f>STDEV(BO$16:BO$20)</f>
        <v>48.413519405612526</v>
      </c>
      <c r="E31" s="1455">
        <v>96.827038811225052</v>
      </c>
      <c r="F31" s="405">
        <f>AVERAGE(BO$21:BO$25)</f>
        <v>0.11328416923115181</v>
      </c>
      <c r="G31" s="405">
        <f>STDEV(BO$21:BO$25)</f>
        <v>0.20087427894411652</v>
      </c>
      <c r="H31" s="405">
        <v>0.40174855788823305</v>
      </c>
      <c r="I31" s="673">
        <f>AVERAGE(BO$26:BO$30)</f>
        <v>0.19132206456099765</v>
      </c>
      <c r="J31" s="673">
        <f>STDEV(BO$26:BO$30)</f>
        <v>6.760020795136501E-2</v>
      </c>
      <c r="K31" s="673">
        <v>0.13520041590273002</v>
      </c>
      <c r="L31" s="1324">
        <v>975.0897057831495</v>
      </c>
      <c r="M31" s="749">
        <v>427.4740899938825</v>
      </c>
      <c r="N31" s="861">
        <v>854.948179987765</v>
      </c>
      <c r="O31" s="407">
        <v>0.95</v>
      </c>
      <c r="P31" s="404">
        <v>-4.2</v>
      </c>
      <c r="Q31" s="779">
        <v>0.43392875400000003</v>
      </c>
      <c r="R31" s="749">
        <f t="shared" si="0"/>
        <v>0.23343791604634864</v>
      </c>
      <c r="S31" s="749">
        <v>317.45227317963463</v>
      </c>
      <c r="T31" s="749">
        <v>597.06417281339657</v>
      </c>
      <c r="U31" s="749">
        <v>110.50827555410166</v>
      </c>
      <c r="V31" s="749">
        <v>169.10362407966028</v>
      </c>
      <c r="W31" s="889">
        <f t="shared" si="1"/>
        <v>427.96054873373629</v>
      </c>
      <c r="X31" s="749">
        <f t="shared" si="2"/>
        <v>2.2784569948521587</v>
      </c>
      <c r="Y31" s="749">
        <f t="shared" si="3"/>
        <v>0.99886330938378998</v>
      </c>
      <c r="Z31" s="749"/>
      <c r="AA31" s="749">
        <f>C31/AVERAGE(BO21,BO22,BO23,BO24)</f>
        <v>1646.7982853098172</v>
      </c>
      <c r="AB31" s="868">
        <v>1646.7982853098172</v>
      </c>
      <c r="AC31" s="571">
        <v>2951.1924259418993</v>
      </c>
      <c r="AD31" s="571">
        <v>5902.3848518837985</v>
      </c>
      <c r="AE31" s="749">
        <f>AVERAGE(BO21,BO22,BO23,BO24)/I31</f>
        <v>0.59211241260170666</v>
      </c>
      <c r="AF31" s="749"/>
      <c r="AG31" s="868">
        <v>0.59211241260170666</v>
      </c>
      <c r="AH31" s="571">
        <v>1.0705686942142802</v>
      </c>
      <c r="AI31" s="862">
        <v>2.1411373884285605</v>
      </c>
      <c r="AJ31" s="407" t="s">
        <v>25</v>
      </c>
    </row>
    <row r="32" spans="1:76" ht="18" thickBot="1">
      <c r="A32" s="407" t="s">
        <v>270</v>
      </c>
      <c r="B32" s="407" t="s">
        <v>26</v>
      </c>
      <c r="C32" s="1455">
        <f>AVERAGE(BP$16:BP$20)</f>
        <v>301.06428306700371</v>
      </c>
      <c r="D32" s="438">
        <f>STDEV(BP$16:BP$20)</f>
        <v>10.960251079635354</v>
      </c>
      <c r="E32" s="1455">
        <v>21.920502159270708</v>
      </c>
      <c r="F32" s="405">
        <f>AVERAGE(BP$21:BP$25)</f>
        <v>1.737885297406909</v>
      </c>
      <c r="G32" s="405">
        <f>STDEV(BP$21:BP$25)</f>
        <v>2.8767079471865364</v>
      </c>
      <c r="H32" s="405">
        <v>5.7534158943730729</v>
      </c>
      <c r="I32" s="1455">
        <f>AVERAGE(BP$26:BP$30)</f>
        <v>23.07623466216527</v>
      </c>
      <c r="J32" s="438">
        <f>STDEV(BP$26:BP$30)</f>
        <v>5.7440084696732159</v>
      </c>
      <c r="K32" s="1455">
        <v>11.488016939346432</v>
      </c>
      <c r="L32" s="1324">
        <v>13.046508127281911</v>
      </c>
      <c r="M32" s="749">
        <v>3.2820132898237686</v>
      </c>
      <c r="N32" s="861">
        <v>6.5640265796475372</v>
      </c>
      <c r="O32" s="407">
        <v>0.37</v>
      </c>
      <c r="P32" s="404">
        <v>-1.72</v>
      </c>
      <c r="Q32" s="779">
        <v>0.43392875400000003</v>
      </c>
      <c r="R32" s="749">
        <f t="shared" si="0"/>
        <v>0.23343791604634864</v>
      </c>
      <c r="S32" s="749">
        <v>3.9978023925751094</v>
      </c>
      <c r="T32" s="749">
        <v>5.1781084041868208</v>
      </c>
      <c r="U32" s="749">
        <v>0.52020482453912908</v>
      </c>
      <c r="V32" s="749">
        <v>0.66010118707258236</v>
      </c>
      <c r="W32" s="889">
        <f t="shared" si="1"/>
        <v>4.5180072171142385</v>
      </c>
      <c r="X32" s="749">
        <f t="shared" si="2"/>
        <v>2.8876687221440593</v>
      </c>
      <c r="Y32" s="749">
        <f t="shared" si="3"/>
        <v>0.72642940396188005</v>
      </c>
      <c r="Z32" s="749"/>
      <c r="AA32" s="749"/>
      <c r="AB32" s="868">
        <v>173.2359917632196</v>
      </c>
      <c r="AC32" s="571">
        <v>286.82552606248345</v>
      </c>
      <c r="AD32" s="571">
        <v>573.6510521249669</v>
      </c>
      <c r="AE32" s="749"/>
      <c r="AF32" s="749"/>
      <c r="AG32" s="868">
        <v>7.5310609501482731E-2</v>
      </c>
      <c r="AH32" s="571">
        <v>0.12606264088238348</v>
      </c>
      <c r="AI32" s="862">
        <v>0.25212528176476695</v>
      </c>
      <c r="AJ32" s="407" t="s">
        <v>26</v>
      </c>
      <c r="AL32" s="309" t="s">
        <v>95</v>
      </c>
      <c r="AM32" s="311">
        <v>450</v>
      </c>
      <c r="AN32" s="311">
        <v>408</v>
      </c>
      <c r="AO32" s="311">
        <v>444</v>
      </c>
      <c r="AP32" s="311">
        <v>458</v>
      </c>
      <c r="AQ32" s="311">
        <v>410</v>
      </c>
      <c r="AR32" s="446">
        <v>458.7</v>
      </c>
      <c r="AS32" s="311">
        <v>458.7</v>
      </c>
      <c r="AT32" s="311">
        <v>441</v>
      </c>
      <c r="AU32" s="311">
        <v>460</v>
      </c>
      <c r="AV32" s="311">
        <v>460</v>
      </c>
      <c r="AW32" s="311">
        <v>433</v>
      </c>
      <c r="AX32" s="311">
        <v>433</v>
      </c>
      <c r="AY32" s="311">
        <v>447</v>
      </c>
      <c r="AZ32" s="311">
        <v>447</v>
      </c>
      <c r="BA32" s="311">
        <v>325</v>
      </c>
      <c r="BB32" s="311">
        <v>417</v>
      </c>
      <c r="BC32" s="308">
        <v>417</v>
      </c>
      <c r="BD32" s="308" t="s">
        <v>94</v>
      </c>
      <c r="BE32" s="308">
        <v>1.29</v>
      </c>
      <c r="BF32" s="308">
        <v>1.05</v>
      </c>
      <c r="BG32" s="311">
        <v>251</v>
      </c>
      <c r="BH32" s="311" t="s">
        <v>94</v>
      </c>
      <c r="BI32" s="311">
        <v>430</v>
      </c>
      <c r="BJ32" s="311">
        <v>396</v>
      </c>
      <c r="BK32" s="311">
        <v>444</v>
      </c>
      <c r="BL32" s="311">
        <v>49</v>
      </c>
      <c r="BM32" s="308" t="s">
        <v>94</v>
      </c>
      <c r="BN32" s="308" t="s">
        <v>94</v>
      </c>
      <c r="BO32" s="308">
        <v>3.15</v>
      </c>
      <c r="BP32" s="308">
        <v>22.1</v>
      </c>
    </row>
    <row r="33" spans="1:75">
      <c r="A33" s="435" t="s">
        <v>313</v>
      </c>
      <c r="B33" s="435" t="s">
        <v>27</v>
      </c>
      <c r="C33" s="405">
        <f>AVERAGE(BQ$52:BQ$56)</f>
        <v>0.11462164460049307</v>
      </c>
      <c r="D33" s="782">
        <f>STDEV(BQ$52:BQ$56)</f>
        <v>6.4745745411712199E-2</v>
      </c>
      <c r="E33" s="405">
        <v>0.1294914908234244</v>
      </c>
      <c r="F33" s="1554">
        <f>AVERAGE(BQ$57:BQ$61)</f>
        <v>0.34932675710154487</v>
      </c>
      <c r="G33" s="405">
        <f>STDEV(BQ$57:BQ$61)</f>
        <v>0.26446210122617297</v>
      </c>
      <c r="H33" s="1554">
        <v>0.52892420245234595</v>
      </c>
      <c r="I33" s="1453">
        <f>AVERAGE(BQ$62:BQ$66)</f>
        <v>477.41882182814408</v>
      </c>
      <c r="J33" s="434">
        <f>STDEV(BQ$62:BQ$66)</f>
        <v>122.60171688712644</v>
      </c>
      <c r="K33" s="1453">
        <v>245.20343377425289</v>
      </c>
      <c r="L33" s="921">
        <v>2.4008614524576347E-4</v>
      </c>
      <c r="M33" s="922">
        <v>1.4897325330432098E-4</v>
      </c>
      <c r="N33" s="1335">
        <v>2.9794650660864197E-4</v>
      </c>
      <c r="O33" s="435">
        <v>2.5000000000000001E-2</v>
      </c>
      <c r="P33" s="433">
        <v>3</v>
      </c>
      <c r="Q33" s="778">
        <v>0.43392875400000003</v>
      </c>
      <c r="R33" s="570">
        <f t="shared" si="0"/>
        <v>0.23343791604634864</v>
      </c>
      <c r="S33" s="1333">
        <f>O33*(((1-(2*C47))/(1-C47))^P33)</f>
        <v>2.5070104649695541E-4</v>
      </c>
      <c r="T33" s="1333">
        <f>O33*(((1-(2*C46))/(1-C46))^P33)</f>
        <v>3.9365441429799756E-4</v>
      </c>
      <c r="U33" s="1333">
        <v>6.7318783609397607E-5</v>
      </c>
      <c r="V33" s="1333">
        <v>7.5634584191644537E-5</v>
      </c>
      <c r="W33" s="1363">
        <f t="shared" si="1"/>
        <v>3.1801983010635302E-4</v>
      </c>
      <c r="X33" s="573">
        <f t="shared" si="2"/>
        <v>0.75494080091003524</v>
      </c>
      <c r="Y33" s="570">
        <f t="shared" si="3"/>
        <v>0.46844013863695538</v>
      </c>
      <c r="Z33" s="570">
        <f>AVERAGE(0.07, 0.24, 0.21, 0.08, 0.1)/F33</f>
        <v>0.40077090332735021</v>
      </c>
      <c r="AA33" s="570"/>
      <c r="AB33" s="868">
        <v>0.32812157176718648</v>
      </c>
      <c r="AC33" s="571">
        <v>0.30993433819448002</v>
      </c>
      <c r="AD33" s="571">
        <v>0.61986867638896004</v>
      </c>
      <c r="AE33" s="570"/>
      <c r="AF33" s="570"/>
      <c r="AG33" s="1543">
        <v>7.3169875407067973E-4</v>
      </c>
      <c r="AH33" s="786">
        <v>5.8494274673673015E-4</v>
      </c>
      <c r="AI33" s="1544">
        <v>1.1698854934734603E-3</v>
      </c>
      <c r="AJ33" s="435" t="s">
        <v>27</v>
      </c>
    </row>
    <row r="34" spans="1:75">
      <c r="A34" s="435" t="s">
        <v>313</v>
      </c>
      <c r="B34" s="435" t="s">
        <v>28</v>
      </c>
      <c r="C34" s="405">
        <f>AVERAGE(BR$52:BR$56)</f>
        <v>3.967289578335538E-2</v>
      </c>
      <c r="D34" s="405" t="e">
        <f>STDEV(BR$52:BR$56)</f>
        <v>#DIV/0!</v>
      </c>
      <c r="E34" s="405" t="e">
        <v>#DIV/0!</v>
      </c>
      <c r="F34" s="1554">
        <f>AVERAGE(BR$57:BR$61)</f>
        <v>0.4402725359052102</v>
      </c>
      <c r="G34" s="405">
        <f>STDEV(BR$57:BR$61)</f>
        <v>0.24347229594973002</v>
      </c>
      <c r="H34" s="1554">
        <v>0.48694459189946004</v>
      </c>
      <c r="I34" s="1453">
        <f>AVERAGE(BR$62:BR$66)</f>
        <v>443.0644097954567</v>
      </c>
      <c r="J34" s="434">
        <f>STDEV(BR$62:BR$66)</f>
        <v>105.84120580230898</v>
      </c>
      <c r="K34" s="1453">
        <v>211.68241160461795</v>
      </c>
      <c r="L34" s="1323">
        <v>8.9542050560257388E-5</v>
      </c>
      <c r="M34" s="571" t="e">
        <v>#DIV/0!</v>
      </c>
      <c r="N34" s="862" t="e">
        <v>#DIV/0!</v>
      </c>
      <c r="O34" s="435">
        <v>1.2E-2</v>
      </c>
      <c r="P34" s="433">
        <v>7.5</v>
      </c>
      <c r="Q34" s="778">
        <v>0.43392875400000003</v>
      </c>
      <c r="R34" s="570">
        <f t="shared" si="0"/>
        <v>0.23343791604634864</v>
      </c>
      <c r="S34" s="1355">
        <f>O34*(((1-(2*C47))/(1-C47))^P34)</f>
        <v>1.208430259012416E-7</v>
      </c>
      <c r="T34" s="1355">
        <f>O34*(((1-(2*C46))/(1-C46))^P34)</f>
        <v>3.7335247866859125E-7</v>
      </c>
      <c r="U34" s="1355">
        <v>9.816837716986772E-8</v>
      </c>
      <c r="V34" s="1355">
        <v>1.5434107559748193E-7</v>
      </c>
      <c r="W34" s="1372">
        <f t="shared" si="1"/>
        <v>2.1901140307110932E-7</v>
      </c>
      <c r="X34" s="573">
        <f t="shared" si="2"/>
        <v>408.84652262231566</v>
      </c>
      <c r="Y34" s="570" t="e">
        <f t="shared" si="3"/>
        <v>#DIV/0!</v>
      </c>
      <c r="Z34" s="570">
        <f>AVERAGE(0.08, 0.06, 0.12, 0.04, 0.11)/F34</f>
        <v>0.18624827422270651</v>
      </c>
      <c r="AA34" s="570"/>
      <c r="AB34" s="868">
        <v>9.0109858208136953E-2</v>
      </c>
      <c r="AC34" s="571" t="e">
        <v>#DIV/0!</v>
      </c>
      <c r="AD34" s="571" t="e">
        <v>#DIV/0!</v>
      </c>
      <c r="AE34" s="570"/>
      <c r="AF34" s="570"/>
      <c r="AG34" s="1543">
        <v>9.9369871777438539E-4</v>
      </c>
      <c r="AH34" s="786">
        <v>5.9859833998078516E-4</v>
      </c>
      <c r="AI34" s="1544">
        <v>1.1971966799615703E-3</v>
      </c>
      <c r="AJ34" s="435" t="s">
        <v>28</v>
      </c>
    </row>
    <row r="35" spans="1:75">
      <c r="A35" s="933" t="s">
        <v>1395</v>
      </c>
      <c r="B35" s="933" t="s">
        <v>6</v>
      </c>
      <c r="L35" s="974">
        <f>H40/B40</f>
        <v>1.1441663142645402</v>
      </c>
      <c r="M35" s="386">
        <f>L35*SQRT((I40/H40)^2 + (C40/B40)^2)</f>
        <v>1.6148522183193435E-2</v>
      </c>
      <c r="N35" s="975">
        <f>2*M35</f>
        <v>3.2297044366386869E-2</v>
      </c>
      <c r="AB35" s="974">
        <f>H40/E40</f>
        <v>0.89897484610355138</v>
      </c>
      <c r="AC35" s="386">
        <f>AB35*SQRT((I40/H40)^2 + (F40/E40)^2)</f>
        <v>1.0076573312904076E-2</v>
      </c>
      <c r="AD35" s="975">
        <f>2*AC35</f>
        <v>2.0153146625808152E-2</v>
      </c>
      <c r="AE35"/>
      <c r="AF35"/>
      <c r="AG35" s="386">
        <f>E40/B40</f>
        <v>1.2727456382386315</v>
      </c>
      <c r="AH35" s="386">
        <f>AG35*SQRT((C40/B40)^2 + (F40/E40)^2)</f>
        <v>1.8099765846240377E-2</v>
      </c>
      <c r="AI35" s="975">
        <f>2*AH35</f>
        <v>3.6199531692480753E-2</v>
      </c>
      <c r="AJ35" s="386"/>
    </row>
    <row r="36" spans="1:75">
      <c r="A36" s="933" t="s">
        <v>1395</v>
      </c>
      <c r="B36" s="933" t="s">
        <v>8</v>
      </c>
      <c r="L36" s="971">
        <f>H41/B41</f>
        <v>2.1253346438266409</v>
      </c>
      <c r="M36" s="972">
        <f>L36*SQRT((I41/H41)^2 + (C41/B41)^2)</f>
        <v>6.1820498620870273E-2</v>
      </c>
      <c r="N36" s="973">
        <f>2*M36</f>
        <v>0.12364099724174055</v>
      </c>
      <c r="AB36" s="971">
        <f>H41/E41</f>
        <v>24.701261002868169</v>
      </c>
      <c r="AC36" s="972">
        <f>AB36*SQRT((I41/H41)^2 + (F41/E41)^2)</f>
        <v>0.93697908392596652</v>
      </c>
      <c r="AD36" s="973">
        <f>2*AC36</f>
        <v>1.873958167851933</v>
      </c>
      <c r="AE36"/>
      <c r="AF36"/>
      <c r="AG36" s="1507">
        <f>E41/B41</f>
        <v>8.6041544339775164E-2</v>
      </c>
      <c r="AH36" s="1507">
        <f>AG36*SQRT((C41/B41)^2 + (F41/E41)^2)</f>
        <v>4.0560753229857771E-3</v>
      </c>
      <c r="AI36" s="1501">
        <f>2*AH36</f>
        <v>8.1121506459715543E-3</v>
      </c>
      <c r="AJ36" s="386"/>
    </row>
    <row r="38" spans="1:75" ht="20" thickBot="1">
      <c r="A38" s="761" t="s">
        <v>1014</v>
      </c>
      <c r="B38" s="762" t="s">
        <v>1013</v>
      </c>
      <c r="C38" s="762" t="s">
        <v>819</v>
      </c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AL38" s="1191" t="s">
        <v>313</v>
      </c>
      <c r="AM38" s="381" t="s">
        <v>0</v>
      </c>
      <c r="AN38" s="307"/>
      <c r="AO38" s="307"/>
      <c r="AP38" s="373"/>
      <c r="AQ38" s="373"/>
      <c r="AR38" s="307"/>
      <c r="AS38" s="307"/>
      <c r="AT38" s="307"/>
      <c r="AU38" s="307"/>
      <c r="AV38" s="307"/>
      <c r="AW38" s="307"/>
      <c r="AX38" s="307"/>
      <c r="AY38" s="373"/>
      <c r="AZ38" s="373"/>
      <c r="BA38" s="373"/>
      <c r="BB38" s="373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</row>
    <row r="39" spans="1:75" ht="35" thickBot="1">
      <c r="A39" s="763"/>
      <c r="B39" s="746" t="s">
        <v>390</v>
      </c>
      <c r="C39" s="757" t="s">
        <v>1346</v>
      </c>
      <c r="D39" s="1423" t="s">
        <v>1416</v>
      </c>
      <c r="E39" s="746" t="s">
        <v>389</v>
      </c>
      <c r="F39" s="757" t="s">
        <v>1347</v>
      </c>
      <c r="G39" s="1423" t="s">
        <v>1417</v>
      </c>
      <c r="H39" s="746" t="s">
        <v>388</v>
      </c>
      <c r="I39" s="757" t="s">
        <v>1348</v>
      </c>
      <c r="J39" s="1423" t="s">
        <v>1418</v>
      </c>
      <c r="K39" s="1458"/>
      <c r="N39" s="762"/>
      <c r="P39" s="768" t="s">
        <v>818</v>
      </c>
      <c r="Q39" s="759" t="s">
        <v>817</v>
      </c>
      <c r="R39" s="759" t="s">
        <v>572</v>
      </c>
      <c r="S39" s="760" t="s">
        <v>816</v>
      </c>
      <c r="AL39" s="380"/>
      <c r="AM39" s="307" t="s">
        <v>1012</v>
      </c>
      <c r="AN39" s="307"/>
      <c r="AO39" s="307"/>
      <c r="AP39" s="307"/>
      <c r="AQ39" s="373"/>
      <c r="AR39" s="307"/>
      <c r="AS39" s="307"/>
      <c r="AT39" s="307"/>
      <c r="AU39" s="307"/>
      <c r="AV39" s="379"/>
      <c r="AW39" s="378">
        <v>43783.626342592594</v>
      </c>
      <c r="AX39" s="307"/>
      <c r="AY39" s="379"/>
      <c r="AZ39" s="378"/>
      <c r="BA39" s="373"/>
      <c r="BB39" s="373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</row>
    <row r="40" spans="1:75" ht="18" thickBot="1">
      <c r="A40" s="764" t="s">
        <v>6</v>
      </c>
      <c r="B40" s="1413">
        <v>47.767399999999995</v>
      </c>
      <c r="C40" s="755">
        <v>0.56093269946878044</v>
      </c>
      <c r="D40" s="1418" cm="1">
        <f t="array" ref="D40:D42">2*C40:C42</f>
        <v>1.1218653989375609</v>
      </c>
      <c r="E40" s="1413">
        <v>60.795750000000005</v>
      </c>
      <c r="F40" s="755">
        <v>0.48765563949089347</v>
      </c>
      <c r="G40" s="1418" cm="1">
        <f t="array" ref="G40:G42">2*F40:F42</f>
        <v>0.97531127898178693</v>
      </c>
      <c r="H40" s="1413">
        <v>54.653849999999991</v>
      </c>
      <c r="I40" s="755">
        <v>0.42791185454852437</v>
      </c>
      <c r="J40" s="1418" cm="1">
        <f t="array" ref="J40:J42">2*I40:I42</f>
        <v>0.85582370909704875</v>
      </c>
      <c r="K40" s="1459"/>
      <c r="N40" s="762"/>
      <c r="P40" s="766"/>
      <c r="Q40" s="769" t="s">
        <v>815</v>
      </c>
      <c r="R40" s="769" t="s">
        <v>814</v>
      </c>
      <c r="S40" s="770" t="s">
        <v>813</v>
      </c>
      <c r="AL40" s="309" t="s">
        <v>2</v>
      </c>
      <c r="AM40" s="375" t="s">
        <v>3</v>
      </c>
      <c r="AN40" s="375" t="s">
        <v>4</v>
      </c>
      <c r="AO40" s="375" t="s">
        <v>5</v>
      </c>
      <c r="AP40" s="375" t="s">
        <v>6</v>
      </c>
      <c r="AQ40" s="375" t="s">
        <v>7</v>
      </c>
      <c r="AR40" s="377" t="s">
        <v>8</v>
      </c>
      <c r="AS40" s="375" t="s">
        <v>8</v>
      </c>
      <c r="AT40" s="375" t="s">
        <v>9</v>
      </c>
      <c r="AU40" s="375" t="s">
        <v>10</v>
      </c>
      <c r="AV40" s="375" t="s">
        <v>10</v>
      </c>
      <c r="AW40" s="375" t="s">
        <v>11</v>
      </c>
      <c r="AX40" s="375" t="s">
        <v>11</v>
      </c>
      <c r="AY40" s="375" t="s">
        <v>12</v>
      </c>
      <c r="AZ40" s="375" t="s">
        <v>12</v>
      </c>
      <c r="BA40" s="375" t="s">
        <v>13</v>
      </c>
      <c r="BB40" s="375" t="s">
        <v>14</v>
      </c>
      <c r="BC40" s="375" t="s">
        <v>14</v>
      </c>
      <c r="BD40" s="375" t="s">
        <v>15</v>
      </c>
      <c r="BE40" s="375" t="s">
        <v>16</v>
      </c>
      <c r="BF40" s="375" t="s">
        <v>17</v>
      </c>
      <c r="BG40" s="375" t="s">
        <v>18</v>
      </c>
      <c r="BH40" s="375" t="s">
        <v>17</v>
      </c>
      <c r="BI40" s="375" t="s">
        <v>19</v>
      </c>
      <c r="BJ40" s="375" t="s">
        <v>20</v>
      </c>
      <c r="BK40" s="375" t="s">
        <v>21</v>
      </c>
      <c r="BL40" s="375" t="s">
        <v>22</v>
      </c>
      <c r="BM40" s="375" t="s">
        <v>23</v>
      </c>
      <c r="BN40" s="375" t="s">
        <v>24</v>
      </c>
      <c r="BO40" s="375" t="s">
        <v>25</v>
      </c>
      <c r="BP40" s="375" t="s">
        <v>26</v>
      </c>
      <c r="BQ40" s="375" t="s">
        <v>27</v>
      </c>
      <c r="BR40" s="375" t="s">
        <v>28</v>
      </c>
      <c r="BS40" s="307"/>
      <c r="BT40" s="375" t="s">
        <v>29</v>
      </c>
      <c r="BU40" s="375" t="s">
        <v>30</v>
      </c>
      <c r="BV40" s="375"/>
      <c r="BW40" s="375" t="s">
        <v>31</v>
      </c>
    </row>
    <row r="41" spans="1:75" ht="17">
      <c r="A41" s="764" t="s">
        <v>8</v>
      </c>
      <c r="B41" s="1413">
        <v>21.366</v>
      </c>
      <c r="C41" s="755">
        <v>0.60986211976823745</v>
      </c>
      <c r="D41" s="1418">
        <v>1.2197242395364749</v>
      </c>
      <c r="E41" s="725">
        <v>1.8383636363636362</v>
      </c>
      <c r="F41" s="755">
        <v>6.8969953932524475E-2</v>
      </c>
      <c r="G41" s="755">
        <v>0.13793990786504895</v>
      </c>
      <c r="H41" s="1413">
        <v>45.409900000000007</v>
      </c>
      <c r="I41" s="755">
        <v>0.25422242644043713</v>
      </c>
      <c r="J41" s="1418">
        <v>0.50844485288087427</v>
      </c>
      <c r="K41" s="1459"/>
      <c r="L41" s="1549"/>
      <c r="M41" s="1549"/>
      <c r="N41" s="762"/>
      <c r="O41" s="762"/>
      <c r="P41" s="762"/>
      <c r="Q41" s="762"/>
      <c r="R41" s="762"/>
      <c r="S41" s="762"/>
      <c r="AL41" s="309" t="s">
        <v>32</v>
      </c>
      <c r="AM41" s="307">
        <v>51</v>
      </c>
      <c r="AN41" s="307">
        <v>53</v>
      </c>
      <c r="AO41" s="307">
        <v>55</v>
      </c>
      <c r="AP41" s="307">
        <v>57</v>
      </c>
      <c r="AQ41" s="307">
        <v>59</v>
      </c>
      <c r="AR41" s="370">
        <v>61</v>
      </c>
      <c r="AS41" s="307">
        <v>62</v>
      </c>
      <c r="AT41" s="307">
        <v>63</v>
      </c>
      <c r="AU41" s="307">
        <v>66</v>
      </c>
      <c r="AV41" s="307">
        <v>67</v>
      </c>
      <c r="AW41" s="307">
        <v>69</v>
      </c>
      <c r="AX41" s="307">
        <v>71</v>
      </c>
      <c r="AY41" s="307">
        <v>72</v>
      </c>
      <c r="AZ41" s="307">
        <v>73</v>
      </c>
      <c r="BA41" s="307">
        <v>75</v>
      </c>
      <c r="BB41" s="307">
        <v>95</v>
      </c>
      <c r="BC41" s="307">
        <v>97</v>
      </c>
      <c r="BD41" s="307">
        <v>101</v>
      </c>
      <c r="BE41" s="307">
        <v>103</v>
      </c>
      <c r="BF41" s="307">
        <v>105</v>
      </c>
      <c r="BG41" s="307">
        <v>107</v>
      </c>
      <c r="BH41" s="307">
        <v>108</v>
      </c>
      <c r="BI41" s="307">
        <v>118</v>
      </c>
      <c r="BJ41" s="307">
        <v>121</v>
      </c>
      <c r="BK41" s="307">
        <v>184</v>
      </c>
      <c r="BL41" s="307">
        <v>185</v>
      </c>
      <c r="BM41" s="307">
        <v>189</v>
      </c>
      <c r="BN41" s="307">
        <v>193</v>
      </c>
      <c r="BO41" s="307">
        <v>195</v>
      </c>
      <c r="BP41" s="307">
        <v>197</v>
      </c>
      <c r="BQ41" s="307">
        <v>208</v>
      </c>
      <c r="BR41" s="307">
        <v>209</v>
      </c>
      <c r="BS41" s="307"/>
      <c r="BT41" s="375" t="s">
        <v>33</v>
      </c>
      <c r="BU41" s="375" t="s">
        <v>34</v>
      </c>
      <c r="BV41" s="307"/>
      <c r="BW41" s="307"/>
    </row>
    <row r="42" spans="1:75" ht="18" thickBot="1">
      <c r="A42" s="766" t="s">
        <v>380</v>
      </c>
      <c r="B42" s="1415">
        <v>29.967324999999995</v>
      </c>
      <c r="C42" s="756">
        <v>0.1817184049619715</v>
      </c>
      <c r="D42" s="1419">
        <v>0.363436809923943</v>
      </c>
      <c r="E42" s="1415">
        <v>36.399000000000008</v>
      </c>
      <c r="F42" s="756">
        <v>1.2952765236532608</v>
      </c>
      <c r="G42" s="1419">
        <v>2.5905530473065217</v>
      </c>
      <c r="H42" s="726">
        <v>2.0750000000000001E-2</v>
      </c>
      <c r="I42" s="1410">
        <v>2.1085976881629925E-2</v>
      </c>
      <c r="J42" s="756">
        <v>4.2171953763259849E-2</v>
      </c>
      <c r="K42" s="1460"/>
      <c r="L42" s="386"/>
      <c r="M42" s="1550"/>
      <c r="N42" s="762"/>
      <c r="O42" s="762"/>
      <c r="P42" s="762"/>
      <c r="Q42" s="762"/>
      <c r="R42" s="762"/>
      <c r="S42" s="762"/>
      <c r="AL42" s="309"/>
      <c r="AM42" s="375" t="s">
        <v>35</v>
      </c>
      <c r="AN42" s="375" t="s">
        <v>35</v>
      </c>
      <c r="AO42" s="375" t="s">
        <v>35</v>
      </c>
      <c r="AP42" s="375" t="s">
        <v>35</v>
      </c>
      <c r="AQ42" s="375" t="s">
        <v>35</v>
      </c>
      <c r="AR42" s="376" t="s">
        <v>35</v>
      </c>
      <c r="AS42" s="375" t="s">
        <v>35</v>
      </c>
      <c r="AT42" s="375" t="s">
        <v>35</v>
      </c>
      <c r="AU42" s="375" t="s">
        <v>35</v>
      </c>
      <c r="AV42" s="375" t="s">
        <v>35</v>
      </c>
      <c r="AW42" s="375" t="s">
        <v>35</v>
      </c>
      <c r="AX42" s="375" t="s">
        <v>35</v>
      </c>
      <c r="AY42" s="375" t="s">
        <v>35</v>
      </c>
      <c r="AZ42" s="375" t="s">
        <v>35</v>
      </c>
      <c r="BA42" s="375" t="s">
        <v>35</v>
      </c>
      <c r="BB42" s="375" t="s">
        <v>35</v>
      </c>
      <c r="BC42" s="375" t="s">
        <v>35</v>
      </c>
      <c r="BD42" s="375" t="s">
        <v>35</v>
      </c>
      <c r="BE42" s="375" t="s">
        <v>35</v>
      </c>
      <c r="BF42" s="375" t="s">
        <v>35</v>
      </c>
      <c r="BG42" s="375" t="s">
        <v>35</v>
      </c>
      <c r="BH42" s="375" t="s">
        <v>35</v>
      </c>
      <c r="BI42" s="375" t="s">
        <v>35</v>
      </c>
      <c r="BJ42" s="375" t="s">
        <v>35</v>
      </c>
      <c r="BK42" s="375" t="s">
        <v>35</v>
      </c>
      <c r="BL42" s="375" t="s">
        <v>35</v>
      </c>
      <c r="BM42" s="375" t="s">
        <v>35</v>
      </c>
      <c r="BN42" s="375" t="s">
        <v>35</v>
      </c>
      <c r="BO42" s="375" t="s">
        <v>35</v>
      </c>
      <c r="BP42" s="375" t="s">
        <v>35</v>
      </c>
      <c r="BQ42" s="375" t="s">
        <v>35</v>
      </c>
      <c r="BR42" s="375" t="s">
        <v>35</v>
      </c>
      <c r="BS42" s="307"/>
      <c r="BT42" s="307"/>
      <c r="BU42" s="307"/>
      <c r="BV42" s="307"/>
      <c r="BW42" s="307"/>
    </row>
    <row r="43" spans="1:75" ht="17">
      <c r="A43" s="762" t="s">
        <v>379</v>
      </c>
      <c r="B43" s="725">
        <f>SUM(B40:B42)</f>
        <v>99.100724999999983</v>
      </c>
      <c r="C43" s="762"/>
      <c r="D43" s="762"/>
      <c r="E43" s="725">
        <f>SUM(E40:E42)</f>
        <v>99.033113636363652</v>
      </c>
      <c r="F43" s="762"/>
      <c r="G43" s="762"/>
      <c r="H43" s="725">
        <f>SUM(H40:H42)</f>
        <v>100.08450000000001</v>
      </c>
      <c r="I43" s="762"/>
      <c r="J43" s="762"/>
      <c r="K43" s="725"/>
      <c r="N43" s="762"/>
      <c r="O43" s="762"/>
      <c r="P43" s="762"/>
      <c r="Q43" s="762"/>
      <c r="R43" s="762"/>
      <c r="S43" s="762"/>
      <c r="AL43" s="309"/>
      <c r="AM43" s="373"/>
      <c r="AN43" s="373"/>
      <c r="AO43" s="373"/>
      <c r="AP43" s="373"/>
      <c r="AQ43" s="373"/>
      <c r="AR43" s="374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 s="373"/>
      <c r="BU43" s="373"/>
      <c r="BV43" s="373"/>
      <c r="BW43" s="373"/>
    </row>
    <row r="44" spans="1:75" ht="17">
      <c r="A44" s="762"/>
      <c r="B44" s="762"/>
      <c r="C44" s="762"/>
      <c r="D44" s="762"/>
      <c r="E44" s="762"/>
      <c r="F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AL44" s="309" t="s">
        <v>36</v>
      </c>
      <c r="AM44" s="310">
        <v>54.3</v>
      </c>
      <c r="AN44" s="310">
        <v>2646</v>
      </c>
      <c r="AO44" s="310">
        <v>1933</v>
      </c>
      <c r="AP44" s="310">
        <v>184300</v>
      </c>
      <c r="AQ44" s="310">
        <v>506</v>
      </c>
      <c r="AR44" s="371">
        <v>10770</v>
      </c>
      <c r="AS44" s="310">
        <v>10770</v>
      </c>
      <c r="AT44" s="310">
        <v>131</v>
      </c>
      <c r="AU44" s="310">
        <v>323</v>
      </c>
      <c r="AV44" s="310">
        <v>323</v>
      </c>
      <c r="AW44" s="310">
        <v>9.7100000000000009</v>
      </c>
      <c r="AX44" s="310">
        <v>9.7100000000000009</v>
      </c>
      <c r="AY44" s="310">
        <v>32.6</v>
      </c>
      <c r="AZ44" s="310">
        <v>32.6</v>
      </c>
      <c r="BA44" s="310">
        <v>1.81</v>
      </c>
      <c r="BB44" s="310">
        <v>0.92800000000000005</v>
      </c>
      <c r="BC44" s="310">
        <v>0.92800000000000005</v>
      </c>
      <c r="BD44" s="310">
        <v>0.68300000000000005</v>
      </c>
      <c r="BE44" s="310">
        <v>0.14000000000000001</v>
      </c>
      <c r="BF44" s="310">
        <v>0.55600000000000005</v>
      </c>
      <c r="BG44" s="310">
        <v>0.19700000000000001</v>
      </c>
      <c r="BH44" s="310">
        <v>0.55600000000000005</v>
      </c>
      <c r="BI44" s="310">
        <v>1.68</v>
      </c>
      <c r="BJ44" s="310">
        <v>0.13300000000000001</v>
      </c>
      <c r="BK44" s="310">
        <v>9.0300000000000005E-2</v>
      </c>
      <c r="BL44" s="310">
        <v>3.95E-2</v>
      </c>
      <c r="BM44" s="310">
        <v>0.50600000000000001</v>
      </c>
      <c r="BN44" s="310">
        <v>0.48</v>
      </c>
      <c r="BO44" s="310">
        <v>0.98199999999999998</v>
      </c>
      <c r="BP44" s="310">
        <v>0.14799999999999999</v>
      </c>
      <c r="BQ44" s="310">
        <v>2.5299999999999998</v>
      </c>
      <c r="BR44" s="310">
        <v>0.111</v>
      </c>
      <c r="BS44" s="307"/>
      <c r="BT44" s="307"/>
      <c r="BU44" s="307"/>
      <c r="BV44" s="307"/>
      <c r="BW44" s="307"/>
    </row>
    <row r="45" spans="1:75" ht="17">
      <c r="B45" s="1375" t="s">
        <v>483</v>
      </c>
      <c r="C45" s="1405">
        <f>(B42/32.06)/((B42/32.06)+(B41/58.69)+(B40/55.847))</f>
        <v>0.43392875378668133</v>
      </c>
      <c r="D45" s="1399" t="s">
        <v>1413</v>
      </c>
      <c r="E45" s="1402">
        <f>2*(C45^2)*SQRT(((((C42*32.06)/ B42^2)^2)*((B40/55.845)^2 + (B41/58.693)^2)^2) + (((C40/55.845)^2 + (C41/58.693)^2)*(32.06/B42)^2))</f>
        <v>6.1934097261260868E-3</v>
      </c>
      <c r="AL45" s="797" t="s">
        <v>1400</v>
      </c>
      <c r="AM45" s="798">
        <v>2.5188507561513258E-2</v>
      </c>
      <c r="AN45" s="798">
        <v>0.32575564547729896</v>
      </c>
      <c r="AO45" s="798">
        <v>0.20802670968738651</v>
      </c>
      <c r="AP45" s="798">
        <v>42.493255394616568</v>
      </c>
      <c r="AQ45" s="798">
        <v>0.31125240417925687</v>
      </c>
      <c r="AR45" s="799">
        <v>2.3432048548211677</v>
      </c>
      <c r="AS45" s="798">
        <v>15.496210668614877</v>
      </c>
      <c r="AT45" s="798">
        <v>4.3830768195958283E-2</v>
      </c>
      <c r="AU45" s="798">
        <v>0.1928927809939113</v>
      </c>
      <c r="AV45" s="798">
        <v>0.56906470574982659</v>
      </c>
      <c r="AW45" s="798">
        <v>1.2099040772708755E-2</v>
      </c>
      <c r="AX45" s="798">
        <v>3.0997134540489781E-2</v>
      </c>
      <c r="AY45" s="798">
        <v>0.56173133984441981</v>
      </c>
      <c r="AZ45" s="798">
        <v>0.87400550110269548</v>
      </c>
      <c r="BA45" s="798">
        <v>0.13849558972346079</v>
      </c>
      <c r="BB45" s="798">
        <v>7.1699051972048983E-2</v>
      </c>
      <c r="BC45" s="798">
        <v>0.14391782653267018</v>
      </c>
      <c r="BD45" s="798"/>
      <c r="BE45" s="798">
        <v>4.0003975419460438E-3</v>
      </c>
      <c r="BF45" s="798">
        <v>4.2754949802133284E-3</v>
      </c>
      <c r="BG45" s="798">
        <v>1.9805881818362171E-2</v>
      </c>
      <c r="BH45" s="798">
        <v>1.5439199225566675E-3</v>
      </c>
      <c r="BI45" s="798">
        <v>5.5792954844558568E-2</v>
      </c>
      <c r="BJ45" s="798">
        <v>3.0386257958773838E-2</v>
      </c>
      <c r="BK45" s="798">
        <v>2.4925778877750975E-3</v>
      </c>
      <c r="BL45" s="798">
        <v>3.1597062778967039E-3</v>
      </c>
      <c r="BM45" s="798"/>
      <c r="BN45" s="798"/>
      <c r="BO45" s="798">
        <v>5.3501749675104729E-3</v>
      </c>
      <c r="BP45" s="798">
        <v>2.2658763134202488E-2</v>
      </c>
      <c r="BQ45" s="798">
        <v>9.475847297733115E-3</v>
      </c>
      <c r="BR45" s="798">
        <v>6.0928548043079926E-3</v>
      </c>
      <c r="BS45" s="307"/>
      <c r="BT45" s="307"/>
      <c r="BU45" s="307"/>
      <c r="BV45" s="307"/>
      <c r="BW45" s="307"/>
    </row>
    <row r="46" spans="1:75" ht="18" thickBot="1">
      <c r="B46" s="1399" t="s">
        <v>1404</v>
      </c>
      <c r="C46" s="1405">
        <f>((B42-C42)/32.06)/(((B42-C42)/32.06)+((B41+C41)/58.69)+((B40+C40)/55.847))</f>
        <v>0.42836086561455922</v>
      </c>
      <c r="D46" s="1401" t="s">
        <v>1414</v>
      </c>
      <c r="E46" s="1402">
        <f>C45-C46</f>
        <v>5.5678881721221152E-3</v>
      </c>
      <c r="AL46" s="797" t="s">
        <v>1399</v>
      </c>
      <c r="AM46" s="798">
        <v>3.4749668058207651E-2</v>
      </c>
      <c r="AN46" s="798">
        <v>0.41320750170457782</v>
      </c>
      <c r="AO46" s="798">
        <v>0.24881945352393822</v>
      </c>
      <c r="AP46" s="798">
        <v>74.594712675116625</v>
      </c>
      <c r="AQ46" s="798">
        <v>0.411456399970416</v>
      </c>
      <c r="AR46" s="799">
        <v>3.934448773102079</v>
      </c>
      <c r="AS46" s="798">
        <v>20.712686134429767</v>
      </c>
      <c r="AT46" s="798">
        <v>5.7271706772973253E-2</v>
      </c>
      <c r="AU46" s="798">
        <v>0.23902960265661838</v>
      </c>
      <c r="AV46" s="798">
        <v>0.7737898298773167</v>
      </c>
      <c r="AW46" s="798">
        <v>1.5934766119485144E-2</v>
      </c>
      <c r="AX46" s="798">
        <v>4.4695228356663126E-2</v>
      </c>
      <c r="AY46" s="798">
        <v>0.70211551235583181</v>
      </c>
      <c r="AZ46" s="798">
        <v>1.1110289399705342</v>
      </c>
      <c r="BA46" s="798">
        <v>0.16736804324186605</v>
      </c>
      <c r="BB46" s="798">
        <v>8.6985319957646703E-2</v>
      </c>
      <c r="BC46" s="798">
        <v>0.13526752029337463</v>
      </c>
      <c r="BD46" s="798"/>
      <c r="BE46" s="798">
        <v>4.995212300961064E-3</v>
      </c>
      <c r="BF46" s="798">
        <v>3.7452865651329726E-3</v>
      </c>
      <c r="BG46" s="798">
        <v>2.4818522074733028E-2</v>
      </c>
      <c r="BH46" s="798">
        <v>3.0529975006147914E-3</v>
      </c>
      <c r="BI46" s="798">
        <v>5.8891569332825675E-2</v>
      </c>
      <c r="BJ46" s="798">
        <v>3.4560845613938108E-2</v>
      </c>
      <c r="BK46" s="798">
        <v>1.1044809360862957E-2</v>
      </c>
      <c r="BL46" s="798">
        <v>3.4003784337114239E-3</v>
      </c>
      <c r="BM46" s="798"/>
      <c r="BN46" s="798"/>
      <c r="BO46" s="798">
        <v>8.9187753783330718E-3</v>
      </c>
      <c r="BP46" s="798">
        <v>2.2043954701019143E-2</v>
      </c>
      <c r="BQ46" s="798">
        <v>1.6157020634536574E-2</v>
      </c>
      <c r="BR46" s="798">
        <v>1.1245798803216991E-2</v>
      </c>
      <c r="BS46" s="307"/>
      <c r="BT46" s="307"/>
      <c r="BU46" s="307"/>
      <c r="BV46" s="307"/>
      <c r="BW46" s="307"/>
    </row>
    <row r="47" spans="1:75" ht="17">
      <c r="B47" s="1399" t="s">
        <v>1403</v>
      </c>
      <c r="C47" s="1405">
        <f>((B42+C42)/32.06)/(((B42+C42)/32.06)+((B41-C41)/58.69)+((B40-C40)/55.847))</f>
        <v>0.43957350935602829</v>
      </c>
      <c r="D47" s="1401" t="s">
        <v>1415</v>
      </c>
      <c r="E47" s="1402">
        <f>C47-C45</f>
        <v>5.6447555693469598E-3</v>
      </c>
      <c r="AL47" s="432" t="s">
        <v>100</v>
      </c>
      <c r="AM47" s="427">
        <v>451.95566529978282</v>
      </c>
      <c r="AN47" s="427">
        <v>392.77650729572605</v>
      </c>
      <c r="AO47" s="427">
        <v>442.87341716448702</v>
      </c>
      <c r="AP47" s="425"/>
      <c r="AQ47" s="427">
        <v>412.82276860496734</v>
      </c>
      <c r="AR47" s="431">
        <v>459</v>
      </c>
      <c r="AS47" s="427"/>
      <c r="AT47" s="427">
        <v>445.98607098618908</v>
      </c>
      <c r="AU47" s="427">
        <v>459.49620837684478</v>
      </c>
      <c r="AV47" s="427">
        <v>455.09635309137883</v>
      </c>
      <c r="AW47" s="427">
        <v>433.30031596569637</v>
      </c>
      <c r="AX47" s="427">
        <v>425.43712469757662</v>
      </c>
      <c r="AY47" s="427">
        <v>436.8866642040432</v>
      </c>
      <c r="AZ47" s="427">
        <v>447.51978794188284</v>
      </c>
      <c r="BA47" s="427">
        <v>322.77362179218574</v>
      </c>
      <c r="BB47" s="427">
        <v>410.93963113516503</v>
      </c>
      <c r="BC47" s="427">
        <v>409.98305666422914</v>
      </c>
      <c r="BD47" s="425"/>
      <c r="BE47" s="428">
        <v>1.2751641741833928</v>
      </c>
      <c r="BF47" s="428">
        <v>1.0765970271150374</v>
      </c>
      <c r="BG47" s="427">
        <v>247.93510207348234</v>
      </c>
      <c r="BH47" s="425">
        <v>1.0305106426570358</v>
      </c>
      <c r="BI47" s="427">
        <v>426.93424933783729</v>
      </c>
      <c r="BJ47" s="427">
        <v>394.08779389243091</v>
      </c>
      <c r="BK47" s="427">
        <v>429.82243622780527</v>
      </c>
      <c r="BL47" s="427">
        <v>46.673758698326523</v>
      </c>
      <c r="BM47" s="425"/>
      <c r="BN47" s="425"/>
      <c r="BO47" s="428">
        <v>3.0637034478757434</v>
      </c>
      <c r="BP47" s="427">
        <v>20.963770414951334</v>
      </c>
      <c r="BQ47" s="427">
        <v>408.04365882718974</v>
      </c>
      <c r="BR47" s="427">
        <v>347.09372550338026</v>
      </c>
      <c r="BS47" s="422"/>
      <c r="BT47" s="424">
        <v>45.488002777099595</v>
      </c>
      <c r="BU47" s="423">
        <v>0.9777286895895555</v>
      </c>
      <c r="BV47" s="422"/>
      <c r="BW47" s="421" t="s">
        <v>1011</v>
      </c>
    </row>
    <row r="48" spans="1:75" ht="18" thickBot="1">
      <c r="AL48" s="420" t="s">
        <v>101</v>
      </c>
      <c r="AM48" s="414">
        <v>448.63710860003471</v>
      </c>
      <c r="AN48" s="414">
        <v>423.74981975660006</v>
      </c>
      <c r="AO48" s="414">
        <v>445.70039637236067</v>
      </c>
      <c r="AP48" s="413"/>
      <c r="AQ48" s="414">
        <v>407.73354957997901</v>
      </c>
      <c r="AR48" s="419">
        <v>459</v>
      </c>
      <c r="AS48" s="414"/>
      <c r="AT48" s="414">
        <v>436.61455320396658</v>
      </c>
      <c r="AU48" s="414">
        <v>461.10113517764603</v>
      </c>
      <c r="AV48" s="414">
        <v>465.4757799558314</v>
      </c>
      <c r="AW48" s="414">
        <v>433.26614559557123</v>
      </c>
      <c r="AX48" s="414">
        <v>441.08611093200994</v>
      </c>
      <c r="AY48" s="414">
        <v>457.63734441515032</v>
      </c>
      <c r="AZ48" s="414">
        <v>447.06610341691135</v>
      </c>
      <c r="BA48" s="414">
        <v>327.65109075970815</v>
      </c>
      <c r="BB48" s="414">
        <v>423.56199459273495</v>
      </c>
      <c r="BC48" s="414">
        <v>424.52230006034733</v>
      </c>
      <c r="BD48" s="413"/>
      <c r="BE48" s="415">
        <v>1.3065306238055863</v>
      </c>
      <c r="BF48" s="415">
        <v>1.024891722695549</v>
      </c>
      <c r="BG48" s="414">
        <v>254.38419167834556</v>
      </c>
      <c r="BH48" s="413">
        <v>1.0706878884488265</v>
      </c>
      <c r="BI48" s="414">
        <v>433.5930593733828</v>
      </c>
      <c r="BJ48" s="414">
        <v>398.40860565166776</v>
      </c>
      <c r="BK48" s="414">
        <v>458.64954354180009</v>
      </c>
      <c r="BL48" s="414">
        <v>51.387946379021862</v>
      </c>
      <c r="BM48" s="413"/>
      <c r="BN48" s="413"/>
      <c r="BO48" s="415">
        <v>3.2389544971779349</v>
      </c>
      <c r="BP48" s="414">
        <v>23.28430462063768</v>
      </c>
      <c r="BQ48" s="414">
        <v>444.46711386892724</v>
      </c>
      <c r="BR48" s="414">
        <v>368.71767410105184</v>
      </c>
      <c r="BS48" s="410"/>
      <c r="BT48" s="412">
        <v>45.488000869750998</v>
      </c>
      <c r="BU48" s="411">
        <v>0.87636822085814392</v>
      </c>
      <c r="BV48" s="410"/>
      <c r="BW48" s="409" t="s">
        <v>1010</v>
      </c>
    </row>
    <row r="49" spans="38:75" ht="17">
      <c r="AL49" s="396" t="s">
        <v>1009</v>
      </c>
      <c r="AM49" s="491" t="s">
        <v>205</v>
      </c>
      <c r="AN49" s="401">
        <v>48.468209869770597</v>
      </c>
      <c r="AO49" s="403" t="s">
        <v>1008</v>
      </c>
      <c r="AP49" s="400"/>
      <c r="AQ49" s="401">
        <v>4767.4010543972654</v>
      </c>
      <c r="AR49" s="408">
        <v>55500</v>
      </c>
      <c r="AS49" s="401"/>
      <c r="AT49" s="401">
        <v>170.96300297747968</v>
      </c>
      <c r="AU49" s="490" t="s">
        <v>1007</v>
      </c>
      <c r="AV49" s="490" t="s">
        <v>1006</v>
      </c>
      <c r="AW49" s="401">
        <v>63.45942281375924</v>
      </c>
      <c r="AX49" s="401">
        <v>71.87839680545035</v>
      </c>
      <c r="AY49" s="401">
        <v>274.00085536090285</v>
      </c>
      <c r="AZ49" s="401">
        <v>227.28295563091845</v>
      </c>
      <c r="BA49" s="402">
        <v>7.0845408088508321</v>
      </c>
      <c r="BB49" s="402">
        <v>7.1362462614986155</v>
      </c>
      <c r="BC49" s="402">
        <v>7.9165811071795371</v>
      </c>
      <c r="BD49" s="401"/>
      <c r="BE49" s="402">
        <v>2.8192215944818924</v>
      </c>
      <c r="BF49" s="400">
        <v>0.56522308224184015</v>
      </c>
      <c r="BG49" s="403" t="s">
        <v>113</v>
      </c>
      <c r="BH49" s="400">
        <v>0.34086506960657226</v>
      </c>
      <c r="BI49" s="403" t="s">
        <v>753</v>
      </c>
      <c r="BJ49" s="403" t="s">
        <v>744</v>
      </c>
      <c r="BK49" s="402">
        <v>3.4788800416123884</v>
      </c>
      <c r="BL49" s="402">
        <v>1.1589091587960543</v>
      </c>
      <c r="BM49" s="400"/>
      <c r="BN49" s="400"/>
      <c r="BO49" s="401">
        <v>29.765130995708947</v>
      </c>
      <c r="BP49" s="403" t="s">
        <v>189</v>
      </c>
      <c r="BQ49" s="403" t="s">
        <v>849</v>
      </c>
      <c r="BR49" s="403" t="s">
        <v>117</v>
      </c>
      <c r="BS49" s="398"/>
      <c r="BT49" s="394">
        <v>44.809001922607393</v>
      </c>
      <c r="BU49" s="399">
        <v>0.38755111010628013</v>
      </c>
      <c r="BV49" s="398"/>
      <c r="BW49" s="398" t="s">
        <v>1005</v>
      </c>
    </row>
    <row r="50" spans="38:75" ht="17">
      <c r="AL50" s="396" t="s">
        <v>1004</v>
      </c>
      <c r="AM50" s="490" t="s">
        <v>968</v>
      </c>
      <c r="AN50" s="401">
        <v>45.002777663144009</v>
      </c>
      <c r="AO50" s="403" t="s">
        <v>1003</v>
      </c>
      <c r="AP50" s="400"/>
      <c r="AQ50" s="401">
        <v>4778.5551567416924</v>
      </c>
      <c r="AR50" s="408">
        <v>55500</v>
      </c>
      <c r="AS50" s="401"/>
      <c r="AT50" s="401">
        <v>156.58555059116762</v>
      </c>
      <c r="AU50" s="490" t="s">
        <v>1002</v>
      </c>
      <c r="AV50" s="490" t="s">
        <v>1001</v>
      </c>
      <c r="AW50" s="401">
        <v>62.163802075084121</v>
      </c>
      <c r="AX50" s="401">
        <v>69.263019188701335</v>
      </c>
      <c r="AY50" s="401">
        <v>234.02577618209827</v>
      </c>
      <c r="AZ50" s="401">
        <v>207.67711059988028</v>
      </c>
      <c r="BA50" s="402">
        <v>5.4222624767490561</v>
      </c>
      <c r="BB50" s="402">
        <v>6.6149512471086664</v>
      </c>
      <c r="BC50" s="402">
        <v>8.6078749011191231</v>
      </c>
      <c r="BD50" s="401"/>
      <c r="BE50" s="402">
        <v>2.7097724342479514</v>
      </c>
      <c r="BF50" s="400">
        <v>0.31395114301485055</v>
      </c>
      <c r="BG50" s="403" t="s">
        <v>130</v>
      </c>
      <c r="BH50" s="400">
        <v>0.29455197253431697</v>
      </c>
      <c r="BI50" s="403" t="s">
        <v>322</v>
      </c>
      <c r="BJ50" s="403" t="s">
        <v>69</v>
      </c>
      <c r="BK50" s="402">
        <v>3.0601743855387502</v>
      </c>
      <c r="BL50" s="402">
        <v>1.2168096252209333</v>
      </c>
      <c r="BM50" s="400"/>
      <c r="BN50" s="400"/>
      <c r="BO50" s="401">
        <v>26.933168711170445</v>
      </c>
      <c r="BP50" s="403" t="s">
        <v>119</v>
      </c>
      <c r="BQ50" s="403" t="s">
        <v>128</v>
      </c>
      <c r="BR50" s="403" t="s">
        <v>192</v>
      </c>
      <c r="BS50" s="398"/>
      <c r="BT50" s="394">
        <v>44.128999710082994</v>
      </c>
      <c r="BU50" s="399">
        <v>0.41515366610060284</v>
      </c>
      <c r="BV50" s="398"/>
      <c r="BW50" s="398" t="s">
        <v>1000</v>
      </c>
    </row>
    <row r="52" spans="38:75" ht="17">
      <c r="AL52" s="1218" t="s">
        <v>999</v>
      </c>
      <c r="AM52" s="1219" t="s">
        <v>156</v>
      </c>
      <c r="AN52" s="1219" t="s">
        <v>998</v>
      </c>
      <c r="AO52" s="1219" t="s">
        <v>997</v>
      </c>
      <c r="AP52" s="1219"/>
      <c r="AQ52" s="1220">
        <v>1039.5612090091824</v>
      </c>
      <c r="AR52" s="1221">
        <v>454100</v>
      </c>
      <c r="AS52" s="1220"/>
      <c r="AT52" s="1220">
        <v>349.98522853147995</v>
      </c>
      <c r="AU52" s="1220">
        <v>151.11751202789085</v>
      </c>
      <c r="AV52" s="1220">
        <v>133.68245497734353</v>
      </c>
      <c r="AW52" s="1220">
        <v>174.28882447577669</v>
      </c>
      <c r="AX52" s="1220">
        <v>185.44157590289251</v>
      </c>
      <c r="AY52" s="1220">
        <v>429.97872472925127</v>
      </c>
      <c r="AZ52" s="1220">
        <v>435.2316936256006</v>
      </c>
      <c r="BA52" s="1220">
        <v>440.47745697536817</v>
      </c>
      <c r="BB52" s="1220">
        <v>248.24884813348095</v>
      </c>
      <c r="BC52" s="1220">
        <v>265.52143615775367</v>
      </c>
      <c r="BD52" s="1219"/>
      <c r="BE52" s="1219">
        <v>323.78096128189901</v>
      </c>
      <c r="BF52" s="1219">
        <v>49.376425535806106</v>
      </c>
      <c r="BG52" s="1219">
        <v>0.69311124188322293</v>
      </c>
      <c r="BH52" s="1219">
        <v>30.478418171290368</v>
      </c>
      <c r="BI52" s="1219">
        <v>435.78800871773825</v>
      </c>
      <c r="BJ52" s="1219">
        <v>295.25934380364362</v>
      </c>
      <c r="BK52" s="1219">
        <v>143.92610560576446</v>
      </c>
      <c r="BL52" s="1219">
        <v>32.171707059861888</v>
      </c>
      <c r="BM52" s="1219"/>
      <c r="BN52" s="1219"/>
      <c r="BO52" s="1220">
        <v>94.385608099150517</v>
      </c>
      <c r="BP52" s="1220">
        <v>318.31075104783548</v>
      </c>
      <c r="BQ52" s="1219">
        <v>6.8185286260110708E-2</v>
      </c>
      <c r="BR52" s="1219" t="s">
        <v>124</v>
      </c>
      <c r="BS52" s="1222"/>
      <c r="BT52" s="1223">
        <v>45.487001419067397</v>
      </c>
      <c r="BU52" s="1224">
        <v>0.33526522962045219</v>
      </c>
      <c r="BV52" s="1222"/>
      <c r="BW52" s="1225" t="s">
        <v>996</v>
      </c>
    </row>
    <row r="53" spans="38:75" ht="17">
      <c r="AL53" s="1003" t="s">
        <v>995</v>
      </c>
      <c r="AM53" s="990" t="s">
        <v>130</v>
      </c>
      <c r="AN53" s="990" t="s">
        <v>994</v>
      </c>
      <c r="AO53" s="990" t="s">
        <v>993</v>
      </c>
      <c r="AP53" s="990"/>
      <c r="AQ53" s="991">
        <v>987.70338246856545</v>
      </c>
      <c r="AR53" s="1004">
        <v>454100</v>
      </c>
      <c r="AS53" s="991"/>
      <c r="AT53" s="991">
        <v>302.26225317904641</v>
      </c>
      <c r="AU53" s="991">
        <v>127.25141643779116</v>
      </c>
      <c r="AV53" s="991">
        <v>99.827964640387663</v>
      </c>
      <c r="AW53" s="991">
        <v>153.6529963854716</v>
      </c>
      <c r="AX53" s="991">
        <v>167.60220537888011</v>
      </c>
      <c r="AY53" s="991">
        <v>555.87406734338049</v>
      </c>
      <c r="AZ53" s="991">
        <v>505.33971615957489</v>
      </c>
      <c r="BA53" s="991">
        <v>408.71122837232889</v>
      </c>
      <c r="BB53" s="991">
        <v>260.12554701652908</v>
      </c>
      <c r="BC53" s="991">
        <v>253.70429709630031</v>
      </c>
      <c r="BD53" s="990"/>
      <c r="BE53" s="990">
        <v>329.46726086873934</v>
      </c>
      <c r="BF53" s="990">
        <v>46.107439610248733</v>
      </c>
      <c r="BG53" s="990" t="s">
        <v>992</v>
      </c>
      <c r="BH53" s="990">
        <v>28.250907807425538</v>
      </c>
      <c r="BI53" s="990">
        <v>417.2320137061879</v>
      </c>
      <c r="BJ53" s="990">
        <v>264.59187938268354</v>
      </c>
      <c r="BK53" s="990">
        <v>151.31316231942699</v>
      </c>
      <c r="BL53" s="990">
        <v>148.46226071634823</v>
      </c>
      <c r="BM53" s="990"/>
      <c r="BN53" s="990"/>
      <c r="BO53" s="991">
        <v>199.64556480567836</v>
      </c>
      <c r="BP53" s="991">
        <v>286.55031792229664</v>
      </c>
      <c r="BQ53" s="990" t="s">
        <v>120</v>
      </c>
      <c r="BR53" s="990" t="s">
        <v>57</v>
      </c>
      <c r="BS53" s="994"/>
      <c r="BT53" s="995">
        <v>43.450998306274407</v>
      </c>
      <c r="BU53" s="996">
        <v>0.34957770937361998</v>
      </c>
      <c r="BV53" s="994"/>
      <c r="BW53" s="1005" t="s">
        <v>991</v>
      </c>
    </row>
    <row r="54" spans="38:75" ht="17">
      <c r="AL54" s="1003" t="s">
        <v>990</v>
      </c>
      <c r="AM54" s="990" t="s">
        <v>397</v>
      </c>
      <c r="AN54" s="990" t="s">
        <v>989</v>
      </c>
      <c r="AO54" s="990" t="s">
        <v>988</v>
      </c>
      <c r="AP54" s="990"/>
      <c r="AQ54" s="991">
        <v>1019.8259986763898</v>
      </c>
      <c r="AR54" s="1004">
        <v>454100</v>
      </c>
      <c r="AS54" s="991"/>
      <c r="AT54" s="991">
        <v>309.72883209301665</v>
      </c>
      <c r="AU54" s="991">
        <v>116.38723072195423</v>
      </c>
      <c r="AV54" s="991">
        <v>103.70203772850684</v>
      </c>
      <c r="AW54" s="991">
        <v>146.36859696395626</v>
      </c>
      <c r="AX54" s="991">
        <v>175.82494000799079</v>
      </c>
      <c r="AY54" s="991">
        <v>461.37578745581771</v>
      </c>
      <c r="AZ54" s="991">
        <v>434.49039775542064</v>
      </c>
      <c r="BA54" s="991">
        <v>400.91497268495851</v>
      </c>
      <c r="BB54" s="991">
        <v>240.00362491753043</v>
      </c>
      <c r="BC54" s="991">
        <v>242.98097173083079</v>
      </c>
      <c r="BD54" s="990"/>
      <c r="BE54" s="990">
        <v>295.33130811273514</v>
      </c>
      <c r="BF54" s="990">
        <v>44.056040522845016</v>
      </c>
      <c r="BG54" s="990">
        <v>0.55375620019188787</v>
      </c>
      <c r="BH54" s="990">
        <v>28.12123313291945</v>
      </c>
      <c r="BI54" s="990">
        <v>417.39888212170007</v>
      </c>
      <c r="BJ54" s="990">
        <v>263.4531487211342</v>
      </c>
      <c r="BK54" s="990">
        <v>144.21929199156892</v>
      </c>
      <c r="BL54" s="990">
        <v>80.233305450187927</v>
      </c>
      <c r="BM54" s="990"/>
      <c r="BN54" s="990"/>
      <c r="BO54" s="991">
        <v>147.74143510290926</v>
      </c>
      <c r="BP54" s="991">
        <v>279.17024891411171</v>
      </c>
      <c r="BQ54" s="990">
        <v>0.21012577879671615</v>
      </c>
      <c r="BR54" s="990" t="s">
        <v>167</v>
      </c>
      <c r="BS54" s="994"/>
      <c r="BT54" s="995">
        <v>43.450998306274407</v>
      </c>
      <c r="BU54" s="996">
        <v>0.34983749758547439</v>
      </c>
      <c r="BV54" s="994"/>
      <c r="BW54" s="1005" t="s">
        <v>987</v>
      </c>
    </row>
    <row r="55" spans="38:75" ht="17">
      <c r="AL55" s="1003" t="s">
        <v>986</v>
      </c>
      <c r="AM55" s="990" t="s">
        <v>897</v>
      </c>
      <c r="AN55" s="990" t="s">
        <v>985</v>
      </c>
      <c r="AO55" s="990" t="s">
        <v>984</v>
      </c>
      <c r="AP55" s="990"/>
      <c r="AQ55" s="991">
        <v>1030.6804721319675</v>
      </c>
      <c r="AR55" s="1004">
        <v>454100</v>
      </c>
      <c r="AS55" s="991"/>
      <c r="AT55" s="991">
        <v>324.18553042755224</v>
      </c>
      <c r="AU55" s="991">
        <v>124.82330815174186</v>
      </c>
      <c r="AV55" s="991">
        <v>102.83059140816626</v>
      </c>
      <c r="AW55" s="991">
        <v>155.6535622284124</v>
      </c>
      <c r="AX55" s="991">
        <v>174.4882657957111</v>
      </c>
      <c r="AY55" s="991">
        <v>450.89117489547266</v>
      </c>
      <c r="AZ55" s="991">
        <v>394.08551615533736</v>
      </c>
      <c r="BA55" s="991">
        <v>400.28616415921044</v>
      </c>
      <c r="BB55" s="991">
        <v>246.31312300218795</v>
      </c>
      <c r="BC55" s="991">
        <v>237.73703956867453</v>
      </c>
      <c r="BD55" s="990"/>
      <c r="BE55" s="990">
        <v>302.51401533441492</v>
      </c>
      <c r="BF55" s="990">
        <v>44.310784707465871</v>
      </c>
      <c r="BG55" s="990">
        <v>0.64222067679351669</v>
      </c>
      <c r="BH55" s="990">
        <v>27.954289621414535</v>
      </c>
      <c r="BI55" s="990">
        <v>414.44431084840903</v>
      </c>
      <c r="BJ55" s="990">
        <v>273.05386263746334</v>
      </c>
      <c r="BK55" s="990">
        <v>151.65451590797875</v>
      </c>
      <c r="BL55" s="990">
        <v>42.352182213925801</v>
      </c>
      <c r="BM55" s="990"/>
      <c r="BN55" s="990"/>
      <c r="BO55" s="991">
        <v>152.59479018454371</v>
      </c>
      <c r="BP55" s="991">
        <v>277.44153195134646</v>
      </c>
      <c r="BQ55" s="990">
        <v>8.3201672569519353E-2</v>
      </c>
      <c r="BR55" s="990">
        <v>3.967289578335538E-2</v>
      </c>
      <c r="BS55" s="994"/>
      <c r="BT55" s="995">
        <v>43.451002120971694</v>
      </c>
      <c r="BU55" s="996">
        <v>0.36814515808918846</v>
      </c>
      <c r="BV55" s="994"/>
      <c r="BW55" s="1005" t="s">
        <v>983</v>
      </c>
    </row>
    <row r="56" spans="38:75" ht="17">
      <c r="AL56" s="1003" t="s">
        <v>982</v>
      </c>
      <c r="AM56" s="991" t="s">
        <v>122</v>
      </c>
      <c r="AN56" s="999" t="s">
        <v>981</v>
      </c>
      <c r="AO56" s="999" t="s">
        <v>980</v>
      </c>
      <c r="AP56" s="991"/>
      <c r="AQ56" s="991">
        <v>1009.7445413675531</v>
      </c>
      <c r="AR56" s="1004">
        <v>454100</v>
      </c>
      <c r="AS56" s="991"/>
      <c r="AT56" s="991">
        <v>338.58936790894006</v>
      </c>
      <c r="AU56" s="991">
        <v>144.6499667743779</v>
      </c>
      <c r="AV56" s="991">
        <v>133.12984214683593</v>
      </c>
      <c r="AW56" s="991">
        <v>149.90598332690354</v>
      </c>
      <c r="AX56" s="991">
        <v>167.2235241392064</v>
      </c>
      <c r="AY56" s="991">
        <v>467.33577852718946</v>
      </c>
      <c r="AZ56" s="991">
        <v>434.37752184644876</v>
      </c>
      <c r="BA56" s="991">
        <v>377.38196677203933</v>
      </c>
      <c r="BB56" s="991">
        <v>239.28430826772725</v>
      </c>
      <c r="BC56" s="991">
        <v>251.46712445578549</v>
      </c>
      <c r="BD56" s="990"/>
      <c r="BE56" s="990">
        <v>294.45586177552354</v>
      </c>
      <c r="BF56" s="990">
        <v>44.055656471314038</v>
      </c>
      <c r="BG56" s="990">
        <v>0.62712109506285929</v>
      </c>
      <c r="BH56" s="990">
        <v>27.934928289202389</v>
      </c>
      <c r="BI56" s="990">
        <v>403.94243540721584</v>
      </c>
      <c r="BJ56" s="990">
        <v>261.07160270401454</v>
      </c>
      <c r="BK56" s="990">
        <v>151.71505335250768</v>
      </c>
      <c r="BL56" s="990">
        <v>30.832328676011173</v>
      </c>
      <c r="BM56" s="990"/>
      <c r="BN56" s="990"/>
      <c r="BO56" s="991">
        <v>136.93755674516129</v>
      </c>
      <c r="BP56" s="991">
        <v>280.91671115433218</v>
      </c>
      <c r="BQ56" s="990">
        <v>9.6973840775626069E-2</v>
      </c>
      <c r="BR56" s="990" t="s">
        <v>185</v>
      </c>
      <c r="BS56" s="994"/>
      <c r="BT56" s="995">
        <v>34.625003814697301</v>
      </c>
      <c r="BU56" s="996">
        <v>0.29852810088544601</v>
      </c>
      <c r="BV56" s="994"/>
      <c r="BW56" s="1005" t="s">
        <v>979</v>
      </c>
    </row>
    <row r="57" spans="38:75" ht="17">
      <c r="AL57" s="1226" t="s">
        <v>978</v>
      </c>
      <c r="AM57" s="1157">
        <v>3.0557132989169218</v>
      </c>
      <c r="AN57" s="1157">
        <v>17.434152303725917</v>
      </c>
      <c r="AO57" s="1157">
        <v>949.11213828545203</v>
      </c>
      <c r="AP57" s="1157"/>
      <c r="AQ57" s="1157">
        <v>129.3857363466249</v>
      </c>
      <c r="AR57" s="1158">
        <v>22900</v>
      </c>
      <c r="AS57" s="1157"/>
      <c r="AT57" s="1157">
        <v>251.14365529294247</v>
      </c>
      <c r="AU57" s="1157">
        <v>371.51990898908963</v>
      </c>
      <c r="AV57" s="1157">
        <v>335.76440282468661</v>
      </c>
      <c r="AW57" s="1162">
        <v>1.3669540531111992</v>
      </c>
      <c r="AX57" s="1162">
        <v>0.85189825460952373</v>
      </c>
      <c r="AY57" s="1157">
        <v>15.964281601271507</v>
      </c>
      <c r="AZ57" s="1162" t="s">
        <v>138</v>
      </c>
      <c r="BA57" s="1162">
        <v>1.4814417337548766</v>
      </c>
      <c r="BB57" s="1157">
        <v>341.02263576493851</v>
      </c>
      <c r="BC57" s="1157">
        <v>339.07877468840485</v>
      </c>
      <c r="BD57" s="1162"/>
      <c r="BE57" s="1162">
        <v>0.2189733012405686</v>
      </c>
      <c r="BF57" s="1162">
        <v>6.1000363927878436E-2</v>
      </c>
      <c r="BG57" s="1162">
        <v>2.8655026272691684</v>
      </c>
      <c r="BH57" s="1162">
        <v>3.6562063083859384E-2</v>
      </c>
      <c r="BI57" s="1162">
        <v>0.51237868983091706</v>
      </c>
      <c r="BJ57" s="1162">
        <v>1.0658060844616952</v>
      </c>
      <c r="BK57" s="1162">
        <v>1.6777874908511097</v>
      </c>
      <c r="BL57" s="1162">
        <v>6.5530693371866882E-3</v>
      </c>
      <c r="BM57" s="1162"/>
      <c r="BN57" s="1162"/>
      <c r="BO57" s="1162">
        <v>0.33665687558824264</v>
      </c>
      <c r="BP57" s="1162">
        <v>0.50381510952604669</v>
      </c>
      <c r="BQ57" s="1162">
        <v>0.16928906807713898</v>
      </c>
      <c r="BR57" s="1162">
        <v>0.26495228049725095</v>
      </c>
      <c r="BS57" s="1163"/>
      <c r="BT57" s="1164">
        <v>31.23099899292</v>
      </c>
      <c r="BU57" s="1165">
        <v>1.8697198374837614</v>
      </c>
      <c r="BV57" s="1163"/>
      <c r="BW57" s="1227" t="s">
        <v>977</v>
      </c>
    </row>
    <row r="58" spans="38:75" ht="17">
      <c r="AL58" s="1228" t="s">
        <v>976</v>
      </c>
      <c r="AM58" s="1169">
        <v>11.792800526291993</v>
      </c>
      <c r="AN58" s="1169">
        <v>211.27116792252653</v>
      </c>
      <c r="AO58" s="1169">
        <v>960.44078971661634</v>
      </c>
      <c r="AP58" s="1169"/>
      <c r="AQ58" s="1169">
        <v>129.1246011653655</v>
      </c>
      <c r="AR58" s="1170">
        <v>22900</v>
      </c>
      <c r="AS58" s="1169"/>
      <c r="AT58" s="1169">
        <v>260.04492158944333</v>
      </c>
      <c r="AU58" s="1169">
        <v>401.67282916180835</v>
      </c>
      <c r="AV58" s="1169">
        <v>313.17038226938553</v>
      </c>
      <c r="AW58" s="1169">
        <v>10.807318038319959</v>
      </c>
      <c r="AX58" s="1169">
        <v>12.587875140533942</v>
      </c>
      <c r="AY58" s="1169">
        <v>15.701522863436224</v>
      </c>
      <c r="AZ58" s="1168" t="s">
        <v>411</v>
      </c>
      <c r="BA58" s="1168" t="s">
        <v>156</v>
      </c>
      <c r="BB58" s="1169">
        <v>352.7773501015979</v>
      </c>
      <c r="BC58" s="1169">
        <v>346.11163351230221</v>
      </c>
      <c r="BD58" s="1168"/>
      <c r="BE58" s="1168">
        <v>8.3892483571732332E-2</v>
      </c>
      <c r="BF58" s="1168">
        <v>5.4763940407817957E-2</v>
      </c>
      <c r="BG58" s="1168">
        <v>3.1279556882559172</v>
      </c>
      <c r="BH58" s="1168">
        <v>1.7324331646209414E-2</v>
      </c>
      <c r="BI58" s="1168">
        <v>0.28645738106144431</v>
      </c>
      <c r="BJ58" s="1168">
        <v>0.27362618261059812</v>
      </c>
      <c r="BK58" s="1168">
        <v>14.832941879288446</v>
      </c>
      <c r="BL58" s="1174">
        <v>2.0402207781118386E-3</v>
      </c>
      <c r="BM58" s="1168"/>
      <c r="BN58" s="1168"/>
      <c r="BO58" s="1174">
        <v>2.0641587843093084E-3</v>
      </c>
      <c r="BP58" s="1168">
        <v>0.31976499064113656</v>
      </c>
      <c r="BQ58" s="1168">
        <v>0.61968719556232921</v>
      </c>
      <c r="BR58" s="1168">
        <v>0.71459167967726811</v>
      </c>
      <c r="BS58" s="1175"/>
      <c r="BT58" s="1176">
        <v>34.625</v>
      </c>
      <c r="BU58" s="1177">
        <v>1.7900643206157809</v>
      </c>
      <c r="BV58" s="1175"/>
      <c r="BW58" s="1229" t="s">
        <v>975</v>
      </c>
    </row>
    <row r="59" spans="38:75" ht="17">
      <c r="AL59" s="1228" t="s">
        <v>974</v>
      </c>
      <c r="AM59" s="1169">
        <v>3.6972765866714661</v>
      </c>
      <c r="AN59" s="1169">
        <v>10.945929821897257</v>
      </c>
      <c r="AO59" s="1169">
        <v>1016.4098836334828</v>
      </c>
      <c r="AP59" s="1169"/>
      <c r="AQ59" s="1169">
        <v>138.58768369058456</v>
      </c>
      <c r="AR59" s="1170">
        <v>22900</v>
      </c>
      <c r="AS59" s="1169"/>
      <c r="AT59" s="1169">
        <v>267.45036710352417</v>
      </c>
      <c r="AU59" s="1169">
        <v>390.3577875302056</v>
      </c>
      <c r="AV59" s="1169">
        <v>355.29831303642754</v>
      </c>
      <c r="AW59" s="1168" t="s">
        <v>214</v>
      </c>
      <c r="AX59" s="1168">
        <v>0.10864304876042349</v>
      </c>
      <c r="AY59" s="1169">
        <v>16.519145539170584</v>
      </c>
      <c r="AZ59" s="1168">
        <v>3.7409394993548544</v>
      </c>
      <c r="BA59" s="1168" t="s">
        <v>55</v>
      </c>
      <c r="BB59" s="1169">
        <v>355.83923442170737</v>
      </c>
      <c r="BC59" s="1169">
        <v>354.09912057045801</v>
      </c>
      <c r="BD59" s="1168"/>
      <c r="BE59" s="1168">
        <v>8.0340782632925947E-2</v>
      </c>
      <c r="BF59" s="1168">
        <v>4.1408586061536155E-2</v>
      </c>
      <c r="BG59" s="1168">
        <v>2.5891652312590185</v>
      </c>
      <c r="BH59" s="1168">
        <v>1.5529287428173208E-2</v>
      </c>
      <c r="BI59" s="1168" t="s">
        <v>211</v>
      </c>
      <c r="BJ59" s="1168" t="s">
        <v>167</v>
      </c>
      <c r="BK59" s="1168">
        <v>0.5999021914564836</v>
      </c>
      <c r="BL59" s="1169"/>
      <c r="BM59" s="1168"/>
      <c r="BN59" s="1168"/>
      <c r="BO59" s="1168">
        <v>5.5583319970627732E-3</v>
      </c>
      <c r="BP59" s="1168">
        <v>0.33072500279232964</v>
      </c>
      <c r="BQ59" s="1168">
        <v>0.13991099252591591</v>
      </c>
      <c r="BR59" s="1168">
        <v>0.30229759192118721</v>
      </c>
      <c r="BS59" s="1175"/>
      <c r="BT59" s="1176">
        <v>45.488000869750998</v>
      </c>
      <c r="BU59" s="1177">
        <v>1.5519635743599067</v>
      </c>
      <c r="BV59" s="1175"/>
      <c r="BW59" s="1229" t="s">
        <v>973</v>
      </c>
    </row>
    <row r="60" spans="38:75" ht="17">
      <c r="AL60" s="1228" t="s">
        <v>972</v>
      </c>
      <c r="AM60" s="1169">
        <v>0.50751091743957721</v>
      </c>
      <c r="AN60" s="1169">
        <v>5.3981752291154441</v>
      </c>
      <c r="AO60" s="1169">
        <v>432.50579423494207</v>
      </c>
      <c r="AP60" s="1169"/>
      <c r="AQ60" s="1169">
        <v>90.477167336566666</v>
      </c>
      <c r="AR60" s="1170">
        <v>22900</v>
      </c>
      <c r="AS60" s="1169"/>
      <c r="AT60" s="1169">
        <v>140.09796168479895</v>
      </c>
      <c r="AU60" s="1169">
        <v>170.19200783199787</v>
      </c>
      <c r="AV60" s="1169">
        <v>145.00572534077133</v>
      </c>
      <c r="AW60" s="1168">
        <v>2.4964960936557614</v>
      </c>
      <c r="AX60" s="1168">
        <v>3.0202458004999349</v>
      </c>
      <c r="AY60" s="1169">
        <v>11.839774547860129</v>
      </c>
      <c r="AZ60" s="1168" t="s">
        <v>971</v>
      </c>
      <c r="BA60" s="1174">
        <v>7.9874336444281671</v>
      </c>
      <c r="BB60" s="1169">
        <v>140.7006068968021</v>
      </c>
      <c r="BC60" s="1169">
        <v>139.29610375062478</v>
      </c>
      <c r="BD60" s="1168"/>
      <c r="BE60" s="1168">
        <v>3.7628079629702009</v>
      </c>
      <c r="BF60" s="1168">
        <v>1.0174308417282447</v>
      </c>
      <c r="BG60" s="1168">
        <v>1.2030582052114387</v>
      </c>
      <c r="BH60" s="1168">
        <v>0.63692083566045077</v>
      </c>
      <c r="BI60" s="1168">
        <v>11.273694870356305</v>
      </c>
      <c r="BJ60" s="1168">
        <v>6.0218222290683912</v>
      </c>
      <c r="BK60" s="1168">
        <v>1.0937126234873438</v>
      </c>
      <c r="BL60" s="1168"/>
      <c r="BM60" s="1168"/>
      <c r="BN60" s="1168"/>
      <c r="BO60" s="1168">
        <v>2.5285335039517003E-2</v>
      </c>
      <c r="BP60" s="1168">
        <v>5.7117910742371203</v>
      </c>
      <c r="BQ60" s="1168">
        <v>0.16057310336874597</v>
      </c>
      <c r="BR60" s="1168">
        <v>0.22382603957685704</v>
      </c>
      <c r="BS60" s="1175"/>
      <c r="BT60" s="1176">
        <v>32.5889987945557</v>
      </c>
      <c r="BU60" s="1177">
        <v>1.6036569645403342</v>
      </c>
      <c r="BV60" s="1175"/>
      <c r="BW60" s="1229" t="s">
        <v>970</v>
      </c>
    </row>
    <row r="61" spans="38:75" ht="17">
      <c r="AL61" s="1230" t="s">
        <v>969</v>
      </c>
      <c r="AM61" s="1231">
        <v>38.143317569598878</v>
      </c>
      <c r="AN61" s="1231">
        <v>188.73989748265373</v>
      </c>
      <c r="AO61" s="1231">
        <v>1114.1833855520917</v>
      </c>
      <c r="AP61" s="1232"/>
      <c r="AQ61" s="1231">
        <v>133.0535364642555</v>
      </c>
      <c r="AR61" s="1233">
        <v>22900</v>
      </c>
      <c r="AS61" s="1231"/>
      <c r="AT61" s="1231">
        <v>275.03218515568079</v>
      </c>
      <c r="AU61" s="1231">
        <v>432.14363407459859</v>
      </c>
      <c r="AV61" s="1231">
        <v>424.76625821617387</v>
      </c>
      <c r="AW61" s="1231">
        <v>16.500935688168145</v>
      </c>
      <c r="AX61" s="1231">
        <v>19.555588219703061</v>
      </c>
      <c r="AY61" s="1231">
        <v>20.210458595454657</v>
      </c>
      <c r="AZ61" s="1232" t="s">
        <v>291</v>
      </c>
      <c r="BA61" s="1234" t="s">
        <v>968</v>
      </c>
      <c r="BB61" s="1231">
        <v>317.25864631820775</v>
      </c>
      <c r="BC61" s="1231">
        <v>306.57556355093442</v>
      </c>
      <c r="BD61" s="1232"/>
      <c r="BE61" s="1232">
        <v>8.8202972263522833E-2</v>
      </c>
      <c r="BF61" s="1232">
        <v>3.7716497715516002E-2</v>
      </c>
      <c r="BG61" s="1232">
        <v>2.9761888404233456</v>
      </c>
      <c r="BH61" s="1232">
        <v>3.4957148989463109E-2</v>
      </c>
      <c r="BI61" s="1232">
        <v>0.45246483658290354</v>
      </c>
      <c r="BJ61" s="1232">
        <v>0.24913771485406072</v>
      </c>
      <c r="BK61" s="1232">
        <v>7.188326254713906</v>
      </c>
      <c r="BL61" s="1232"/>
      <c r="BM61" s="1232"/>
      <c r="BN61" s="1232"/>
      <c r="BO61" s="1232"/>
      <c r="BP61" s="1232">
        <v>0.39353262157367919</v>
      </c>
      <c r="BQ61" s="1232">
        <v>0.65717342597359441</v>
      </c>
      <c r="BR61" s="1232">
        <v>0.69569508785348766</v>
      </c>
      <c r="BS61" s="1235"/>
      <c r="BT61" s="1236">
        <v>43.451000213623097</v>
      </c>
      <c r="BU61" s="1237">
        <v>0.8982946764479649</v>
      </c>
      <c r="BV61" s="1235"/>
      <c r="BW61" s="1238" t="s">
        <v>967</v>
      </c>
    </row>
    <row r="62" spans="38:75" ht="17">
      <c r="AL62" s="1031" t="s">
        <v>966</v>
      </c>
      <c r="AM62" s="980">
        <v>0.72301501815593028</v>
      </c>
      <c r="AN62" s="978" t="s">
        <v>345</v>
      </c>
      <c r="AO62" s="978">
        <v>171.02783815024858</v>
      </c>
      <c r="AP62" s="978"/>
      <c r="AQ62" s="979">
        <v>262.65032187886317</v>
      </c>
      <c r="AR62" s="1032">
        <v>213700</v>
      </c>
      <c r="AS62" s="979"/>
      <c r="AT62" s="979">
        <v>1375.6332174955555</v>
      </c>
      <c r="AU62" s="979">
        <v>310.13518549808276</v>
      </c>
      <c r="AV62" s="979">
        <v>253.76951317659126</v>
      </c>
      <c r="AW62" s="978">
        <v>1.7574834973956899</v>
      </c>
      <c r="AX62" s="978">
        <v>1.5256358157332099</v>
      </c>
      <c r="AY62" s="978">
        <v>15.108232412415482</v>
      </c>
      <c r="AZ62" s="978" t="s">
        <v>407</v>
      </c>
      <c r="BA62" s="1190">
        <v>38.978958519521875</v>
      </c>
      <c r="BB62" s="979">
        <v>139.22089849469288</v>
      </c>
      <c r="BC62" s="979">
        <v>136.23133766662644</v>
      </c>
      <c r="BD62" s="978"/>
      <c r="BE62" s="978">
        <v>3.030663543467329</v>
      </c>
      <c r="BF62" s="978">
        <v>6.1602870408383898</v>
      </c>
      <c r="BG62" s="978">
        <v>253.07852028857752</v>
      </c>
      <c r="BH62" s="978">
        <v>4.0172375756760941</v>
      </c>
      <c r="BI62" s="978">
        <v>176.83402305333166</v>
      </c>
      <c r="BJ62" s="978">
        <v>147.29041103310797</v>
      </c>
      <c r="BK62" s="978">
        <v>3.0678564979683114</v>
      </c>
      <c r="BL62" s="978">
        <v>5.4139852648564364E-2</v>
      </c>
      <c r="BM62" s="978"/>
      <c r="BN62" s="978"/>
      <c r="BO62" s="978">
        <v>0.25027182718413477</v>
      </c>
      <c r="BP62" s="979">
        <v>18.807909585831133</v>
      </c>
      <c r="BQ62" s="979">
        <v>602.85751058354072</v>
      </c>
      <c r="BR62" s="979">
        <v>484.95865860348897</v>
      </c>
      <c r="BS62" s="983"/>
      <c r="BT62" s="984">
        <v>46.166000366210994</v>
      </c>
      <c r="BU62" s="985">
        <v>1.2316861427171919</v>
      </c>
      <c r="BV62" s="983"/>
      <c r="BW62" s="1033" t="s">
        <v>965</v>
      </c>
    </row>
    <row r="63" spans="38:75" ht="18" thickBot="1">
      <c r="AL63" s="1041" t="s">
        <v>964</v>
      </c>
      <c r="AM63" s="1046">
        <v>0.46159950741073358</v>
      </c>
      <c r="AN63" s="1042" t="s">
        <v>963</v>
      </c>
      <c r="AO63" s="1042">
        <v>186.91526497074224</v>
      </c>
      <c r="AP63" s="1042"/>
      <c r="AQ63" s="1043">
        <v>295.76652345299539</v>
      </c>
      <c r="AR63" s="1044">
        <v>213700</v>
      </c>
      <c r="AS63" s="1043"/>
      <c r="AT63" s="1043">
        <v>1204.6420924481522</v>
      </c>
      <c r="AU63" s="1043">
        <v>296.9421137775625</v>
      </c>
      <c r="AV63" s="1043">
        <v>268.37980083659778</v>
      </c>
      <c r="AW63" s="1042">
        <v>0.79924294633597504</v>
      </c>
      <c r="AX63" s="1042">
        <v>0.71515162134396826</v>
      </c>
      <c r="AY63" s="1042">
        <v>16.653876151097066</v>
      </c>
      <c r="AZ63" s="1042" t="s">
        <v>962</v>
      </c>
      <c r="BA63" s="1042">
        <v>34.719952957068543</v>
      </c>
      <c r="BB63" s="1043">
        <v>153.04045641571588</v>
      </c>
      <c r="BC63" s="1043">
        <v>157.95905544633067</v>
      </c>
      <c r="BD63" s="1042"/>
      <c r="BE63" s="1042">
        <v>1.50052320449962</v>
      </c>
      <c r="BF63" s="1042">
        <v>11.867361826959982</v>
      </c>
      <c r="BG63" s="1042">
        <v>218.35226979604155</v>
      </c>
      <c r="BH63" s="1042">
        <v>7.4429954908633302</v>
      </c>
      <c r="BI63" s="1042">
        <v>139.93871624519528</v>
      </c>
      <c r="BJ63" s="1042">
        <v>130.19116119568938</v>
      </c>
      <c r="BK63" s="1042">
        <v>1.63992954354042</v>
      </c>
      <c r="BL63" s="1042" t="s">
        <v>104</v>
      </c>
      <c r="BM63" s="1042"/>
      <c r="BN63" s="1042"/>
      <c r="BO63" s="1042">
        <v>0.11846287364413095</v>
      </c>
      <c r="BP63" s="1043">
        <v>19.678937354844074</v>
      </c>
      <c r="BQ63" s="1043">
        <v>396.86542413239505</v>
      </c>
      <c r="BR63" s="1043">
        <v>401.90557071830324</v>
      </c>
      <c r="BS63" s="1048"/>
      <c r="BT63" s="1049">
        <v>45.488002777099595</v>
      </c>
      <c r="BU63" s="1050">
        <v>1.0303744516197271</v>
      </c>
      <c r="BV63" s="1048"/>
      <c r="BW63" s="1051" t="s">
        <v>961</v>
      </c>
    </row>
    <row r="64" spans="38:75" ht="17">
      <c r="AL64" s="1239" t="s">
        <v>960</v>
      </c>
      <c r="AM64" s="1240">
        <v>0.42995603634359214</v>
      </c>
      <c r="AN64" s="1241" t="s">
        <v>329</v>
      </c>
      <c r="AO64" s="1242">
        <v>143.2064342625122</v>
      </c>
      <c r="AP64" s="1242">
        <v>1180013.3725541991</v>
      </c>
      <c r="AQ64" s="1242">
        <v>236.81997454898615</v>
      </c>
      <c r="AR64" s="1243">
        <v>213700</v>
      </c>
      <c r="AS64" s="1242">
        <v>373251.66578522715</v>
      </c>
      <c r="AT64" s="1242">
        <v>1391.7677978375873</v>
      </c>
      <c r="AU64" s="1242">
        <v>269.9598474855319</v>
      </c>
      <c r="AV64" s="1242">
        <v>231.25853300949507</v>
      </c>
      <c r="AW64" s="1244">
        <v>1.410884281607693</v>
      </c>
      <c r="AX64" s="1244">
        <v>1.1719336995063998</v>
      </c>
      <c r="AY64" s="1242">
        <v>11.377889453903139</v>
      </c>
      <c r="AZ64" s="1241" t="s">
        <v>560</v>
      </c>
      <c r="BA64" s="1242">
        <v>38.856128532170523</v>
      </c>
      <c r="BB64" s="1242">
        <v>106.28817361840144</v>
      </c>
      <c r="BC64" s="1242">
        <v>108.18380009044364</v>
      </c>
      <c r="BD64" s="1244"/>
      <c r="BE64" s="1244">
        <v>1.6731111717398635</v>
      </c>
      <c r="BF64" s="1244">
        <v>7.070228607999069</v>
      </c>
      <c r="BG64" s="1242">
        <v>314.20031065972159</v>
      </c>
      <c r="BH64" s="1242">
        <v>4.6292402432799173</v>
      </c>
      <c r="BI64" s="1242">
        <v>147.13703920620441</v>
      </c>
      <c r="BJ64" s="1242">
        <v>144.03000353337035</v>
      </c>
      <c r="BK64" s="1244">
        <v>2.2027096786046312</v>
      </c>
      <c r="BL64" s="1240">
        <v>2.8027984708987947E-2</v>
      </c>
      <c r="BM64" s="1240"/>
      <c r="BN64" s="1240"/>
      <c r="BO64" s="1240">
        <v>0.11375132888173688</v>
      </c>
      <c r="BP64" s="1242">
        <v>13.432337895031749</v>
      </c>
      <c r="BQ64" s="1242">
        <v>444.73541609969533</v>
      </c>
      <c r="BR64" s="1242">
        <v>455.99506343362674</v>
      </c>
      <c r="BS64" s="1245"/>
      <c r="BT64" s="1246">
        <v>44.130001068115298</v>
      </c>
      <c r="BU64" s="1247">
        <v>2.5198630074435715</v>
      </c>
      <c r="BV64" s="1245"/>
      <c r="BW64" s="1248" t="s">
        <v>959</v>
      </c>
    </row>
    <row r="65" spans="38:75" ht="17">
      <c r="AL65" s="1249" t="s">
        <v>958</v>
      </c>
      <c r="AM65" s="978">
        <v>0.56604205115031991</v>
      </c>
      <c r="AN65" s="977" t="s">
        <v>957</v>
      </c>
      <c r="AO65" s="979">
        <v>178.45829352011029</v>
      </c>
      <c r="AP65" s="979">
        <v>1335736.5030615064</v>
      </c>
      <c r="AQ65" s="979">
        <v>246.5512383925944</v>
      </c>
      <c r="AR65" s="1032">
        <v>213700</v>
      </c>
      <c r="AS65" s="979">
        <v>382410.74776717951</v>
      </c>
      <c r="AT65" s="979">
        <v>1598.847983524832</v>
      </c>
      <c r="AU65" s="979">
        <v>302.11333163008209</v>
      </c>
      <c r="AV65" s="979">
        <v>260.62558709457056</v>
      </c>
      <c r="AW65" s="980">
        <v>1.5121492439143878</v>
      </c>
      <c r="AX65" s="980">
        <v>1.0056712071177332</v>
      </c>
      <c r="AY65" s="979">
        <v>13.95397291265475</v>
      </c>
      <c r="AZ65" s="977" t="s">
        <v>956</v>
      </c>
      <c r="BA65" s="979">
        <v>40.356356932266628</v>
      </c>
      <c r="BB65" s="979">
        <v>138.7468453431172</v>
      </c>
      <c r="BC65" s="979">
        <v>137.32182268389613</v>
      </c>
      <c r="BD65" s="980"/>
      <c r="BE65" s="980">
        <v>1.5379565380169062</v>
      </c>
      <c r="BF65" s="980">
        <v>4.5646398374466672</v>
      </c>
      <c r="BG65" s="979">
        <v>301.05164454012248</v>
      </c>
      <c r="BH65" s="979">
        <v>2.8099962672369174</v>
      </c>
      <c r="BI65" s="979">
        <v>191.50734371012828</v>
      </c>
      <c r="BJ65" s="979">
        <v>178.62100988608185</v>
      </c>
      <c r="BK65" s="980">
        <v>2.7062542079426528</v>
      </c>
      <c r="BL65" s="977" t="s">
        <v>214</v>
      </c>
      <c r="BM65" s="978"/>
      <c r="BN65" s="978"/>
      <c r="BO65" s="978">
        <v>0.1660744731591077</v>
      </c>
      <c r="BP65" s="979">
        <v>12.968477764309482</v>
      </c>
      <c r="BQ65" s="979">
        <v>606.88771615597955</v>
      </c>
      <c r="BR65" s="979">
        <v>579.58353682831046</v>
      </c>
      <c r="BS65" s="983"/>
      <c r="BT65" s="984">
        <v>44.809001922607393</v>
      </c>
      <c r="BU65" s="985">
        <v>2.4623755028230483</v>
      </c>
      <c r="BV65" s="983"/>
      <c r="BW65" s="1250" t="s">
        <v>955</v>
      </c>
    </row>
    <row r="66" spans="38:75" ht="18" thickBot="1">
      <c r="AL66" s="1251" t="s">
        <v>954</v>
      </c>
      <c r="AM66" s="1252">
        <v>0.94365162016288751</v>
      </c>
      <c r="AN66" s="1253" t="s">
        <v>283</v>
      </c>
      <c r="AO66" s="1254">
        <v>263.63880005907265</v>
      </c>
      <c r="AP66" s="1254">
        <v>1539930.5798740368</v>
      </c>
      <c r="AQ66" s="1254">
        <v>310.70568562064426</v>
      </c>
      <c r="AR66" s="1255">
        <v>213700</v>
      </c>
      <c r="AS66" s="1254">
        <v>370909.27974401991</v>
      </c>
      <c r="AT66" s="1254">
        <v>1266.1898242801408</v>
      </c>
      <c r="AU66" s="1254">
        <v>390.33217065074052</v>
      </c>
      <c r="AV66" s="1254">
        <v>347.81762232081439</v>
      </c>
      <c r="AW66" s="1256">
        <v>3.0049887118195646</v>
      </c>
      <c r="AX66" s="1256">
        <v>3.4047609046968343</v>
      </c>
      <c r="AY66" s="1254">
        <v>15.005323546802538</v>
      </c>
      <c r="AZ66" s="1253" t="s">
        <v>953</v>
      </c>
      <c r="BA66" s="1254">
        <v>44.368877180049743</v>
      </c>
      <c r="BB66" s="1254">
        <v>160.88932481390634</v>
      </c>
      <c r="BC66" s="1254">
        <v>162.34420592745226</v>
      </c>
      <c r="BD66" s="1256"/>
      <c r="BE66" s="1256">
        <v>3.297393532438849</v>
      </c>
      <c r="BF66" s="1254">
        <v>9.8461965343123801</v>
      </c>
      <c r="BG66" s="1254">
        <v>212.53369253007037</v>
      </c>
      <c r="BH66" s="1254">
        <v>5.9105982853258139</v>
      </c>
      <c r="BI66" s="1254">
        <v>139.90227675599684</v>
      </c>
      <c r="BJ66" s="1254">
        <v>114.19403985679739</v>
      </c>
      <c r="BK66" s="1256">
        <v>4.6196370308693604</v>
      </c>
      <c r="BL66" s="1252">
        <v>3.7334391558324943E-2</v>
      </c>
      <c r="BM66" s="1252"/>
      <c r="BN66" s="1252"/>
      <c r="BO66" s="1252">
        <v>0.19924691914307377</v>
      </c>
      <c r="BP66" s="1254">
        <v>23.84844669180281</v>
      </c>
      <c r="BQ66" s="1254">
        <v>335.74804216910985</v>
      </c>
      <c r="BR66" s="1254">
        <v>292.87921939355419</v>
      </c>
      <c r="BS66" s="1257"/>
      <c r="BT66" s="1258">
        <v>44.129999160766594</v>
      </c>
      <c r="BU66" s="1259">
        <v>2.2060470149118183</v>
      </c>
      <c r="BV66" s="1257"/>
      <c r="BW66" s="1260" t="s">
        <v>952</v>
      </c>
    </row>
    <row r="67" spans="38:75" ht="17">
      <c r="AL67" s="315" t="s">
        <v>86</v>
      </c>
      <c r="AM67" s="339">
        <v>435.4310644799159</v>
      </c>
      <c r="AN67" s="339">
        <v>412.6416826791413</v>
      </c>
      <c r="AO67" s="339">
        <v>435.30385935163105</v>
      </c>
      <c r="AP67" s="453" t="s">
        <v>951</v>
      </c>
      <c r="AQ67" s="339">
        <v>401.29129342266521</v>
      </c>
      <c r="AR67" s="342">
        <v>459</v>
      </c>
      <c r="AS67" s="453" t="s">
        <v>950</v>
      </c>
      <c r="AT67" s="339">
        <v>435.44717420542014</v>
      </c>
      <c r="AU67" s="339">
        <v>456.6930223782926</v>
      </c>
      <c r="AV67" s="339">
        <v>450.99372697639501</v>
      </c>
      <c r="AW67" s="339">
        <v>419.21811077751306</v>
      </c>
      <c r="AX67" s="339">
        <v>417.75617862377692</v>
      </c>
      <c r="AY67" s="339">
        <v>430.81824524591065</v>
      </c>
      <c r="AZ67" s="339">
        <v>437.44140690690466</v>
      </c>
      <c r="BA67" s="339">
        <v>327.33964394354945</v>
      </c>
      <c r="BB67" s="339">
        <v>409.92803138655313</v>
      </c>
      <c r="BC67" s="339">
        <v>411.78101525785462</v>
      </c>
      <c r="BD67" s="339"/>
      <c r="BE67" s="340">
        <v>1.3314359278302588</v>
      </c>
      <c r="BF67" s="340">
        <v>1.037879794259704</v>
      </c>
      <c r="BG67" s="339">
        <v>247.03291604319182</v>
      </c>
      <c r="BH67" s="340">
        <v>1.041840163312465</v>
      </c>
      <c r="BI67" s="339">
        <v>416.12086468207741</v>
      </c>
      <c r="BJ67" s="339">
        <v>386.69778059816952</v>
      </c>
      <c r="BK67" s="339">
        <v>413.13176573369532</v>
      </c>
      <c r="BL67" s="339">
        <v>47.51891266116899</v>
      </c>
      <c r="BM67" s="338"/>
      <c r="BN67" s="338"/>
      <c r="BO67" s="340">
        <v>2.9523476858563793</v>
      </c>
      <c r="BP67" s="339">
        <v>22.126084265607073</v>
      </c>
      <c r="BQ67" s="339">
        <v>420.95042428457799</v>
      </c>
      <c r="BR67" s="339">
        <v>342.84818257551802</v>
      </c>
      <c r="BS67" s="336"/>
      <c r="BT67" s="313">
        <v>43.450998306274407</v>
      </c>
      <c r="BU67" s="337">
        <v>1.7653948020323631</v>
      </c>
      <c r="BV67" s="336"/>
      <c r="BW67" s="336" t="s">
        <v>949</v>
      </c>
    </row>
    <row r="68" spans="38:75" ht="18" thickBot="1">
      <c r="AL68" s="315" t="s">
        <v>88</v>
      </c>
      <c r="AM68" s="339">
        <v>465.09103336543018</v>
      </c>
      <c r="AN68" s="339">
        <v>403.92345666194149</v>
      </c>
      <c r="AO68" s="339">
        <v>453.20995099317315</v>
      </c>
      <c r="AP68" s="453" t="s">
        <v>948</v>
      </c>
      <c r="AQ68" s="339">
        <v>419.23381396176489</v>
      </c>
      <c r="AR68" s="342">
        <v>459</v>
      </c>
      <c r="AS68" s="453" t="s">
        <v>947</v>
      </c>
      <c r="AT68" s="339">
        <v>447.10197492771391</v>
      </c>
      <c r="AU68" s="339">
        <v>463.90202903887973</v>
      </c>
      <c r="AV68" s="339">
        <v>469.58380477253883</v>
      </c>
      <c r="AW68" s="339">
        <v>447.30648075901445</v>
      </c>
      <c r="AX68" s="339">
        <v>448.76111268003456</v>
      </c>
      <c r="AY68" s="339">
        <v>463.665534872352</v>
      </c>
      <c r="AZ68" s="339">
        <v>457.07867200148934</v>
      </c>
      <c r="BA68" s="339">
        <v>323.0966846358221</v>
      </c>
      <c r="BB68" s="339">
        <v>424.57201702699064</v>
      </c>
      <c r="BC68" s="339">
        <v>422.72149470763651</v>
      </c>
      <c r="BD68" s="339"/>
      <c r="BE68" s="340">
        <v>1.2503959879564417</v>
      </c>
      <c r="BF68" s="340">
        <v>1.0635045773822838</v>
      </c>
      <c r="BG68" s="339">
        <v>255.25314080356543</v>
      </c>
      <c r="BH68" s="340">
        <v>1.0594462110491183</v>
      </c>
      <c r="BI68" s="339">
        <v>444.305338434703</v>
      </c>
      <c r="BJ68" s="339">
        <v>405.72542409663947</v>
      </c>
      <c r="BK68" s="339">
        <v>475.25225051611926</v>
      </c>
      <c r="BL68" s="339">
        <v>50.535901645021546</v>
      </c>
      <c r="BM68" s="338"/>
      <c r="BN68" s="338"/>
      <c r="BO68" s="340">
        <v>3.3489701504229523</v>
      </c>
      <c r="BP68" s="339">
        <v>22.102806875135496</v>
      </c>
      <c r="BQ68" s="339">
        <v>431.59032246776161</v>
      </c>
      <c r="BR68" s="339">
        <v>373.03338156958154</v>
      </c>
      <c r="BS68" s="336"/>
      <c r="BT68" s="313">
        <v>44.8090019226075</v>
      </c>
      <c r="BU68" s="337">
        <v>1.6676810309358379</v>
      </c>
      <c r="BV68" s="336"/>
      <c r="BW68" s="336" t="s">
        <v>946</v>
      </c>
    </row>
    <row r="69" spans="38:75" ht="17">
      <c r="AL69" s="335" t="s">
        <v>945</v>
      </c>
      <c r="AM69" s="331" t="s">
        <v>130</v>
      </c>
      <c r="AN69" s="332">
        <v>44.434439203521826</v>
      </c>
      <c r="AO69" s="331" t="s">
        <v>801</v>
      </c>
      <c r="AP69" s="332">
        <v>1749740.6212468089</v>
      </c>
      <c r="AQ69" s="332">
        <v>4490.9949942090643</v>
      </c>
      <c r="AR69" s="334">
        <v>55000</v>
      </c>
      <c r="AS69" s="332">
        <v>108283.19819362163</v>
      </c>
      <c r="AT69" s="332">
        <v>157.35700326908565</v>
      </c>
      <c r="AU69" s="331" t="s">
        <v>944</v>
      </c>
      <c r="AV69" s="331" t="s">
        <v>943</v>
      </c>
      <c r="AW69" s="332">
        <v>62.29427573080153</v>
      </c>
      <c r="AX69" s="332">
        <v>70.934825501922489</v>
      </c>
      <c r="AY69" s="332">
        <v>240.07258701010264</v>
      </c>
      <c r="AZ69" s="332">
        <v>201.42342400752366</v>
      </c>
      <c r="BA69" s="333">
        <v>5.4823380653266565</v>
      </c>
      <c r="BB69" s="333">
        <v>5.6949217877136853</v>
      </c>
      <c r="BC69" s="333">
        <v>6.4172571238637444</v>
      </c>
      <c r="BD69" s="332"/>
      <c r="BE69" s="333">
        <v>2.1462377114401119</v>
      </c>
      <c r="BF69" s="333">
        <v>0.39044582565237962</v>
      </c>
      <c r="BG69" s="331" t="s">
        <v>211</v>
      </c>
      <c r="BH69" s="333">
        <v>0.21130204505051728</v>
      </c>
      <c r="BI69" s="331" t="s">
        <v>942</v>
      </c>
      <c r="BJ69" s="331" t="s">
        <v>119</v>
      </c>
      <c r="BK69" s="333">
        <v>2.4171609117751154</v>
      </c>
      <c r="BL69" s="333">
        <v>0.95202700066389545</v>
      </c>
      <c r="BM69" s="333"/>
      <c r="BN69" s="332"/>
      <c r="BO69" s="332">
        <v>22.54031366751191</v>
      </c>
      <c r="BP69" s="330">
        <v>0.64974301884575125</v>
      </c>
      <c r="BQ69" s="330">
        <v>0.11577418026044065</v>
      </c>
      <c r="BR69" s="331" t="s">
        <v>135</v>
      </c>
      <c r="BS69" s="327"/>
      <c r="BT69" s="329">
        <v>45.488000869750998</v>
      </c>
      <c r="BU69" s="328">
        <v>0.89057579239502682</v>
      </c>
      <c r="BV69" s="327"/>
      <c r="BW69" s="326" t="s">
        <v>941</v>
      </c>
    </row>
    <row r="70" spans="38:75" ht="18" thickBot="1">
      <c r="AL70" s="325" t="s">
        <v>940</v>
      </c>
      <c r="AM70" s="323" t="s">
        <v>127</v>
      </c>
      <c r="AN70" s="321">
        <v>47.921398922410447</v>
      </c>
      <c r="AO70" s="323" t="s">
        <v>939</v>
      </c>
      <c r="AP70" s="321">
        <v>1685660.4327708348</v>
      </c>
      <c r="AQ70" s="321">
        <v>4282.8374208313789</v>
      </c>
      <c r="AR70" s="324">
        <v>55000</v>
      </c>
      <c r="AS70" s="321">
        <v>105428.3729004919</v>
      </c>
      <c r="AT70" s="321">
        <v>147.0741623851728</v>
      </c>
      <c r="AU70" s="323" t="s">
        <v>938</v>
      </c>
      <c r="AV70" s="323" t="s">
        <v>937</v>
      </c>
      <c r="AW70" s="321">
        <v>59.278541919938043</v>
      </c>
      <c r="AX70" s="321">
        <v>65.810177192213715</v>
      </c>
      <c r="AY70" s="321">
        <v>212.77227731577321</v>
      </c>
      <c r="AZ70" s="321">
        <v>204.60455483188724</v>
      </c>
      <c r="BA70" s="322">
        <v>5.2825152146077716</v>
      </c>
      <c r="BB70" s="322">
        <v>5.555698420472523</v>
      </c>
      <c r="BC70" s="322">
        <v>6.2467981467081781</v>
      </c>
      <c r="BD70" s="321"/>
      <c r="BE70" s="322">
        <v>1.91693451083806</v>
      </c>
      <c r="BF70" s="322">
        <v>0.47550416660028466</v>
      </c>
      <c r="BG70" s="323" t="s">
        <v>118</v>
      </c>
      <c r="BH70" s="322">
        <v>0.15349459557084302</v>
      </c>
      <c r="BI70" s="323" t="s">
        <v>293</v>
      </c>
      <c r="BJ70" s="323" t="s">
        <v>117</v>
      </c>
      <c r="BK70" s="322">
        <v>2.4425361107946215</v>
      </c>
      <c r="BL70" s="322">
        <v>0.8544040027839116</v>
      </c>
      <c r="BM70" s="322"/>
      <c r="BN70" s="321"/>
      <c r="BO70" s="321">
        <v>21.99795627122138</v>
      </c>
      <c r="BP70" s="320">
        <v>0.52380282049009008</v>
      </c>
      <c r="BQ70" s="323" t="s">
        <v>111</v>
      </c>
      <c r="BR70" s="323" t="s">
        <v>74</v>
      </c>
      <c r="BS70" s="317"/>
      <c r="BT70" s="319">
        <v>45.488000869750998</v>
      </c>
      <c r="BU70" s="318">
        <v>0.96186211708159353</v>
      </c>
      <c r="BV70" s="317"/>
      <c r="BW70" s="316" t="s">
        <v>936</v>
      </c>
    </row>
    <row r="71" spans="38:75" ht="17">
      <c r="AL71" s="309"/>
      <c r="AM71" s="307"/>
      <c r="AN71" s="307"/>
      <c r="AO71" s="307"/>
      <c r="AP71" s="307"/>
      <c r="AQ71" s="307"/>
      <c r="AR71" s="370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  <c r="BQ71" s="307"/>
      <c r="BR71" s="307"/>
      <c r="BS71" s="307"/>
      <c r="BT71" s="307"/>
      <c r="BU71" s="307"/>
      <c r="BV71" s="307"/>
      <c r="BW71" s="307"/>
    </row>
    <row r="72" spans="38:75" ht="18" thickBot="1">
      <c r="AL72" s="309" t="s">
        <v>145</v>
      </c>
      <c r="AM72" s="311">
        <v>10</v>
      </c>
      <c r="AN72" s="311">
        <v>23</v>
      </c>
      <c r="AO72" s="311">
        <v>10</v>
      </c>
      <c r="AP72" s="311">
        <v>937000</v>
      </c>
      <c r="AQ72" s="311">
        <v>4600</v>
      </c>
      <c r="AR72" s="446">
        <v>55000</v>
      </c>
      <c r="AS72" s="311">
        <v>55000</v>
      </c>
      <c r="AT72" s="311">
        <v>145</v>
      </c>
      <c r="AU72" s="310">
        <v>0.34</v>
      </c>
      <c r="AV72" s="310">
        <v>0.34</v>
      </c>
      <c r="AW72" s="311">
        <v>58</v>
      </c>
      <c r="AX72" s="311">
        <v>58</v>
      </c>
      <c r="AY72" s="311">
        <v>177</v>
      </c>
      <c r="AZ72" s="311">
        <v>177</v>
      </c>
      <c r="BA72" s="308">
        <v>4.3</v>
      </c>
      <c r="BB72" s="308">
        <v>6.4</v>
      </c>
      <c r="BC72" s="308">
        <v>6.4</v>
      </c>
      <c r="BD72" s="311">
        <v>20</v>
      </c>
      <c r="BE72" s="308">
        <v>2.1</v>
      </c>
      <c r="BF72" s="308">
        <v>1.43</v>
      </c>
      <c r="BG72" s="308">
        <v>1</v>
      </c>
      <c r="BH72" s="311" t="s">
        <v>94</v>
      </c>
      <c r="BI72" s="311" t="s">
        <v>94</v>
      </c>
      <c r="BJ72" s="311" t="s">
        <v>94</v>
      </c>
      <c r="BK72" s="308">
        <v>2.85</v>
      </c>
      <c r="BL72" s="308">
        <v>1.1399999999999999</v>
      </c>
      <c r="BM72" s="308">
        <v>9.44</v>
      </c>
      <c r="BN72" s="308">
        <v>15.1</v>
      </c>
      <c r="BO72" s="308">
        <v>30.1</v>
      </c>
      <c r="BP72" s="310">
        <v>0.66</v>
      </c>
      <c r="BQ72" s="308" t="s">
        <v>94</v>
      </c>
      <c r="BR72" s="308" t="s">
        <v>94</v>
      </c>
      <c r="BS72" s="307"/>
      <c r="BT72" s="307"/>
      <c r="BU72" s="307"/>
      <c r="BV72" s="307"/>
      <c r="BW72" s="30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BW66"/>
  <sheetViews>
    <sheetView topLeftCell="AA1" zoomScale="114" zoomScaleNormal="100" workbookViewId="0">
      <selection activeCell="L13" sqref="L13"/>
    </sheetView>
  </sheetViews>
  <sheetFormatPr baseColWidth="10" defaultColWidth="11.6640625" defaultRowHeight="16"/>
  <cols>
    <col min="1" max="9" width="11.6640625" style="306"/>
    <col min="10" max="14" width="14" style="306" customWidth="1"/>
    <col min="15" max="19" width="11.6640625" style="306"/>
    <col min="20" max="22" width="12.1640625" style="306" customWidth="1"/>
    <col min="23" max="23" width="13.5" style="306" customWidth="1"/>
    <col min="24" max="24" width="14.1640625" style="306" customWidth="1"/>
    <col min="25" max="25" width="11.6640625" style="306"/>
    <col min="26" max="26" width="12.5" style="306" customWidth="1"/>
    <col min="27" max="27" width="13.1640625" style="306" customWidth="1"/>
    <col min="28" max="28" width="11.6640625" style="306"/>
    <col min="29" max="29" width="14.33203125" style="306" customWidth="1"/>
    <col min="30" max="30" width="13.33203125" style="306" customWidth="1"/>
    <col min="31" max="32" width="12.5" style="306" customWidth="1"/>
    <col min="33" max="36" width="13.33203125" style="306" customWidth="1"/>
    <col min="37" max="37" width="11.6640625" style="306"/>
    <col min="38" max="38" width="23.1640625" style="306" customWidth="1"/>
    <col min="39" max="74" width="11.6640625" style="306"/>
    <col min="75" max="75" width="49.6640625" style="306" customWidth="1"/>
    <col min="76" max="16384" width="11.6640625" style="306"/>
  </cols>
  <sheetData>
    <row r="1" spans="1:75">
      <c r="A1" s="445" t="s">
        <v>495</v>
      </c>
      <c r="B1" s="445" t="s">
        <v>494</v>
      </c>
      <c r="C1" s="306" t="s">
        <v>493</v>
      </c>
      <c r="D1" s="306" t="s">
        <v>492</v>
      </c>
      <c r="E1" s="1461" t="s">
        <v>1421</v>
      </c>
      <c r="F1" s="306" t="s">
        <v>491</v>
      </c>
      <c r="G1" s="306" t="s">
        <v>490</v>
      </c>
      <c r="H1" s="1461" t="s">
        <v>1422</v>
      </c>
      <c r="I1" s="306" t="s">
        <v>489</v>
      </c>
      <c r="J1" s="306" t="s">
        <v>488</v>
      </c>
      <c r="K1" s="1461" t="s">
        <v>1423</v>
      </c>
      <c r="L1" s="844" t="s">
        <v>487</v>
      </c>
      <c r="M1" s="875" t="s">
        <v>1392</v>
      </c>
      <c r="N1" s="866" t="s">
        <v>1353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74" t="s">
        <v>935</v>
      </c>
      <c r="X1" s="846" t="s">
        <v>481</v>
      </c>
      <c r="Y1" s="306" t="s">
        <v>480</v>
      </c>
      <c r="Z1" s="1375" t="s">
        <v>1411</v>
      </c>
      <c r="AA1" s="1375" t="s">
        <v>1412</v>
      </c>
      <c r="AB1" s="874" t="s">
        <v>1394</v>
      </c>
      <c r="AC1" s="843" t="s">
        <v>478</v>
      </c>
      <c r="AD1" s="865" t="s">
        <v>1353</v>
      </c>
      <c r="AE1" s="1530" t="s">
        <v>1428</v>
      </c>
      <c r="AF1" s="1530" t="s">
        <v>1429</v>
      </c>
      <c r="AG1" s="1483" t="s">
        <v>1425</v>
      </c>
      <c r="AH1" s="1485" t="s">
        <v>1426</v>
      </c>
      <c r="AI1" s="866" t="s">
        <v>1353</v>
      </c>
      <c r="AJ1" s="1488"/>
    </row>
    <row r="2" spans="1:75" ht="19">
      <c r="L2" s="846"/>
      <c r="N2" s="847"/>
      <c r="W2" s="846"/>
      <c r="X2" s="846"/>
      <c r="AB2" s="846"/>
      <c r="AG2" s="846"/>
      <c r="AI2" s="847"/>
      <c r="AL2" s="1053" t="s">
        <v>271</v>
      </c>
      <c r="AM2" s="381" t="s">
        <v>0</v>
      </c>
      <c r="AN2" s="307"/>
      <c r="AO2" s="307"/>
      <c r="AP2" s="373"/>
      <c r="AQ2" s="373"/>
      <c r="AR2" s="307"/>
      <c r="AS2" s="307"/>
      <c r="AT2" s="307"/>
      <c r="AU2" s="307"/>
      <c r="AV2" s="307"/>
      <c r="AW2" s="307"/>
      <c r="AX2" s="307"/>
      <c r="AY2" s="373"/>
      <c r="AZ2" s="373"/>
      <c r="BA2" s="373"/>
      <c r="BB2" s="373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</row>
    <row r="3" spans="1:75" ht="18" thickBot="1">
      <c r="A3" s="435" t="s">
        <v>313</v>
      </c>
      <c r="B3" s="435" t="s">
        <v>3</v>
      </c>
      <c r="C3" s="406" t="e">
        <f>AVERAGE(AM$50:AM$54)</f>
        <v>#DIV/0!</v>
      </c>
      <c r="D3" s="406" t="e">
        <f>STDEV(AM$50:AM$54)</f>
        <v>#DIV/0!</v>
      </c>
      <c r="E3" s="406" t="e" cm="1">
        <f t="array" ref="E3:E34">2*D3:D34</f>
        <v>#DIV/0!</v>
      </c>
      <c r="F3" s="721">
        <f>AVERAGE(AM$55:AM$59)</f>
        <v>1.9509184149249037</v>
      </c>
      <c r="G3" s="721">
        <f>STDEV(AM$55:AM$59)</f>
        <v>1.2380682977254915</v>
      </c>
      <c r="H3" s="721" cm="1">
        <f t="array" ref="H3:H34">2*G3:G34</f>
        <v>2.4761365954509831</v>
      </c>
      <c r="I3" s="433">
        <f>AVERAGE(AM$60:AM$64)</f>
        <v>0.27257404611005048</v>
      </c>
      <c r="J3" s="433">
        <f>STDEV(AM$60:AM$64)</f>
        <v>9.0897472994191583E-2</v>
      </c>
      <c r="K3" s="433" cm="1">
        <f t="array" ref="K3:K34">2*J3:J34</f>
        <v>0.18179494598838317</v>
      </c>
      <c r="L3" s="848" t="e" cm="1">
        <f t="array" ref="L3:L34">C3:C34/I3:I34</f>
        <v>#DIV/0!</v>
      </c>
      <c r="M3" s="571" t="e" cm="1">
        <f t="array" ref="M3:M34">L3:L34*SQRT((D3:D34/C3:C34)^2 + (J3:J34/I3:I34)^2)</f>
        <v>#DIV/0!</v>
      </c>
      <c r="N3" s="862" t="e" cm="1">
        <f t="array" ref="N3:N34">2*(M3:M34)</f>
        <v>#DIV/0!</v>
      </c>
      <c r="O3" s="435">
        <v>0.56999999999999995</v>
      </c>
      <c r="P3" s="433">
        <v>3</v>
      </c>
      <c r="Q3" s="778">
        <v>0.43316566400000001</v>
      </c>
      <c r="R3" s="570">
        <f t="shared" ref="R3:R34" si="0">(1-(2*Q3))/(1-Q3)</f>
        <v>0.23581611682747461</v>
      </c>
      <c r="S3" s="778">
        <f>O3*(((1-(2*C47))/(1-C47))^P3)</f>
        <v>5.5724691387027151E-3</v>
      </c>
      <c r="T3" s="433">
        <f>O3*(((1-(2*C46))/(1-C46))^P3)</f>
        <v>9.6810630866967489E-3</v>
      </c>
      <c r="U3" s="433" cm="1">
        <f t="array" ref="U3:U34">W3:W34-S3:S34</f>
        <v>1.9022573605634108E-3</v>
      </c>
      <c r="V3" s="433" cm="1">
        <f t="array" ref="V3:V34">T3:T34-W3:W34</f>
        <v>2.206336587430623E-3</v>
      </c>
      <c r="W3" s="1368">
        <f t="shared" ref="W3:W34" si="1">O3*((R3)^P3)</f>
        <v>7.474726499266126E-3</v>
      </c>
      <c r="X3" s="873" t="e">
        <f t="shared" ref="X3:X34" si="2">L3/W3</f>
        <v>#DIV/0!</v>
      </c>
      <c r="Y3" s="570" t="e">
        <f t="shared" ref="Y3:Y34" si="3">X3*(M3/L3)</f>
        <v>#DIV/0!</v>
      </c>
      <c r="Z3" s="570"/>
      <c r="AA3" s="570"/>
      <c r="AB3" s="868" t="e" cm="1">
        <f t="array" ref="AB3:AB34">C3:C34/F3:F34</f>
        <v>#DIV/0!</v>
      </c>
      <c r="AC3" s="571" t="e" cm="1">
        <f t="array" ref="AC3:AC34">AB3:AB34*SQRT((D3:D34/C3:C34)^2 + (G3:G34/F3:F34)^2)</f>
        <v>#DIV/0!</v>
      </c>
      <c r="AD3" s="813" t="e" cm="1">
        <f t="array" ref="AD3:AD34">2*AC3:AC34</f>
        <v>#DIV/0!</v>
      </c>
      <c r="AE3" s="570"/>
      <c r="AF3" s="570"/>
      <c r="AG3" s="867" cm="1">
        <f t="array" ref="AG3:AG34">F3:F34/I3:I34</f>
        <v>7.1573887637755123</v>
      </c>
      <c r="AH3" s="813" cm="1">
        <f t="array" ref="AH3:AH34">AG3:AG34*SQRT((J3:J34/I3:I34)^2 + (G3:G34/F3:F34)^2)</f>
        <v>5.1310783595784679</v>
      </c>
      <c r="AI3" s="858" cm="1">
        <f t="array" ref="AI3:AI34">2*AH3:AH34</f>
        <v>10.262156719156936</v>
      </c>
      <c r="AJ3" s="435" t="s">
        <v>3</v>
      </c>
      <c r="AL3" s="380"/>
      <c r="AM3" s="307" t="s">
        <v>1126</v>
      </c>
      <c r="AN3" s="307"/>
      <c r="AO3" s="307"/>
      <c r="AP3" s="307"/>
      <c r="AQ3" s="373"/>
      <c r="AR3" s="307"/>
      <c r="AS3" s="307"/>
      <c r="AT3" s="307"/>
      <c r="AU3" s="307"/>
      <c r="AV3" s="379"/>
      <c r="AW3" s="378">
        <v>43787.677141203705</v>
      </c>
      <c r="AX3" s="307"/>
      <c r="AY3" s="379"/>
      <c r="AZ3" s="378"/>
      <c r="BA3" s="373"/>
      <c r="BB3" s="373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</row>
    <row r="4" spans="1:75" ht="17">
      <c r="A4" s="435" t="s">
        <v>313</v>
      </c>
      <c r="B4" s="435" t="s">
        <v>4</v>
      </c>
      <c r="C4" s="406" t="e">
        <f>AVERAGE(AN$50:AN$54)</f>
        <v>#DIV/0!</v>
      </c>
      <c r="D4" s="406" t="e">
        <f>STDEV(AN$50:AN$54)</f>
        <v>#DIV/0!</v>
      </c>
      <c r="E4" s="406" t="e">
        <v>#DIV/0!</v>
      </c>
      <c r="F4" s="406">
        <f>AVERAGE(AN$55:AN$59)</f>
        <v>35.063534648756871</v>
      </c>
      <c r="G4" s="406">
        <f>STDEV(AN$55:AN$59)</f>
        <v>33.03565878426393</v>
      </c>
      <c r="H4" s="406">
        <v>66.07131756852786</v>
      </c>
      <c r="I4" s="406" t="e">
        <f>AVERAGE(AN$60:AN$64)</f>
        <v>#DIV/0!</v>
      </c>
      <c r="J4" s="406" t="e">
        <f>STDEV(AN$60:AN$64)</f>
        <v>#DIV/0!</v>
      </c>
      <c r="K4" s="406" t="e">
        <v>#DIV/0!</v>
      </c>
      <c r="L4" s="848" t="e">
        <v>#DIV/0!</v>
      </c>
      <c r="M4" s="571" t="e">
        <v>#DIV/0!</v>
      </c>
      <c r="N4" s="862" t="e">
        <v>#DIV/0!</v>
      </c>
      <c r="O4" s="435">
        <v>0.81</v>
      </c>
      <c r="P4" s="433">
        <v>1.66</v>
      </c>
      <c r="Q4" s="778">
        <v>0.43316566400000001</v>
      </c>
      <c r="R4" s="570">
        <f t="shared" si="0"/>
        <v>0.23581611682747461</v>
      </c>
      <c r="S4" s="433">
        <f>O4*(((1-(2*C47))/(1-C47))^P4)</f>
        <v>6.2572087492512182E-2</v>
      </c>
      <c r="T4" s="433">
        <f>O4*(((1-(2*C46))/(1-C46))^P4)</f>
        <v>8.4939888493311605E-2</v>
      </c>
      <c r="U4" s="433">
        <v>1.1041333621885183E-2</v>
      </c>
      <c r="V4" s="433">
        <v>1.132646737891424E-2</v>
      </c>
      <c r="W4" s="1368">
        <f t="shared" si="1"/>
        <v>7.3613421114397365E-2</v>
      </c>
      <c r="X4" s="873" t="e">
        <f t="shared" si="2"/>
        <v>#DIV/0!</v>
      </c>
      <c r="Y4" s="570" t="e">
        <f t="shared" si="3"/>
        <v>#DIV/0!</v>
      </c>
      <c r="Z4" s="570">
        <f>AN44/F4</f>
        <v>1.1784536437749795E-2</v>
      </c>
      <c r="AA4" s="570"/>
      <c r="AB4" s="868" t="e">
        <v>#DIV/0!</v>
      </c>
      <c r="AC4" s="571" t="e">
        <v>#DIV/0!</v>
      </c>
      <c r="AD4" s="813" t="e">
        <v>#DIV/0!</v>
      </c>
      <c r="AE4" s="570"/>
      <c r="AF4" s="570"/>
      <c r="AG4" s="867" t="e">
        <v>#DIV/0!</v>
      </c>
      <c r="AH4" s="813" t="e">
        <v>#DIV/0!</v>
      </c>
      <c r="AI4" s="858" t="e">
        <v>#DIV/0!</v>
      </c>
      <c r="AJ4" s="435" t="s">
        <v>4</v>
      </c>
      <c r="AL4" s="309" t="s">
        <v>2</v>
      </c>
      <c r="AM4" s="375" t="s">
        <v>3</v>
      </c>
      <c r="AN4" s="375" t="s">
        <v>4</v>
      </c>
      <c r="AO4" s="375" t="s">
        <v>5</v>
      </c>
      <c r="AP4" s="375" t="s">
        <v>6</v>
      </c>
      <c r="AQ4" s="375" t="s">
        <v>7</v>
      </c>
      <c r="AR4" s="377" t="s">
        <v>8</v>
      </c>
      <c r="AS4" s="375" t="s">
        <v>8</v>
      </c>
      <c r="AT4" s="375" t="s">
        <v>9</v>
      </c>
      <c r="AU4" s="375" t="s">
        <v>10</v>
      </c>
      <c r="AV4" s="375" t="s">
        <v>10</v>
      </c>
      <c r="AW4" s="375" t="s">
        <v>11</v>
      </c>
      <c r="AX4" s="375" t="s">
        <v>11</v>
      </c>
      <c r="AY4" s="375" t="s">
        <v>12</v>
      </c>
      <c r="AZ4" s="375" t="s">
        <v>12</v>
      </c>
      <c r="BA4" s="375" t="s">
        <v>13</v>
      </c>
      <c r="BB4" s="375" t="s">
        <v>14</v>
      </c>
      <c r="BC4" s="375" t="s">
        <v>14</v>
      </c>
      <c r="BD4" s="375" t="s">
        <v>15</v>
      </c>
      <c r="BE4" s="375" t="s">
        <v>16</v>
      </c>
      <c r="BF4" s="375" t="s">
        <v>17</v>
      </c>
      <c r="BG4" s="375" t="s">
        <v>18</v>
      </c>
      <c r="BH4" s="375" t="s">
        <v>17</v>
      </c>
      <c r="BI4" s="375" t="s">
        <v>19</v>
      </c>
      <c r="BJ4" s="375" t="s">
        <v>20</v>
      </c>
      <c r="BK4" s="375" t="s">
        <v>21</v>
      </c>
      <c r="BL4" s="375" t="s">
        <v>22</v>
      </c>
      <c r="BM4" s="375" t="s">
        <v>23</v>
      </c>
      <c r="BN4" s="375" t="s">
        <v>24</v>
      </c>
      <c r="BO4" s="375" t="s">
        <v>25</v>
      </c>
      <c r="BP4" s="375" t="s">
        <v>26</v>
      </c>
      <c r="BQ4" s="375" t="s">
        <v>27</v>
      </c>
      <c r="BR4" s="375" t="s">
        <v>28</v>
      </c>
      <c r="BS4" s="307"/>
      <c r="BT4" s="375" t="s">
        <v>29</v>
      </c>
      <c r="BU4" s="375" t="s">
        <v>30</v>
      </c>
      <c r="BV4" s="375"/>
      <c r="BW4" s="375" t="s">
        <v>31</v>
      </c>
    </row>
    <row r="5" spans="1:75" ht="17">
      <c r="A5" s="435" t="s">
        <v>313</v>
      </c>
      <c r="B5" s="435" t="s">
        <v>5</v>
      </c>
      <c r="C5" s="406">
        <f>AVERAGE(AO$50:AO$54)</f>
        <v>66.927749332135647</v>
      </c>
      <c r="D5" s="406" t="e">
        <f>STDEV(AO$50:AO$54)</f>
        <v>#DIV/0!</v>
      </c>
      <c r="E5" s="406" t="e">
        <v>#DIV/0!</v>
      </c>
      <c r="F5" s="433">
        <f>AVERAGE(AO$55:AO$59)</f>
        <v>1048.6606977572721</v>
      </c>
      <c r="G5" s="433">
        <f>STDEV(AO$55:AO$59)</f>
        <v>32.345437572634452</v>
      </c>
      <c r="H5" s="433">
        <v>64.690875145268905</v>
      </c>
      <c r="I5" s="433">
        <f>AVERAGE(AO$60:AO$64)</f>
        <v>208.4859416514455</v>
      </c>
      <c r="J5" s="433">
        <f>STDEV(AO$60:AO$64)</f>
        <v>58.915700379801272</v>
      </c>
      <c r="K5" s="433">
        <v>117.83140075960254</v>
      </c>
      <c r="L5" s="848">
        <v>0.32101804467961648</v>
      </c>
      <c r="M5" s="571" t="e">
        <v>#DIV/0!</v>
      </c>
      <c r="N5" s="862" t="e">
        <v>#DIV/0!</v>
      </c>
      <c r="O5" s="435"/>
      <c r="P5" s="433"/>
      <c r="Q5" s="778">
        <v>0.43316566400000001</v>
      </c>
      <c r="R5" s="570">
        <f t="shared" si="0"/>
        <v>0.23581611682747461</v>
      </c>
      <c r="S5" s="433"/>
      <c r="T5" s="433"/>
      <c r="U5" s="433">
        <v>0</v>
      </c>
      <c r="V5" s="433">
        <v>0</v>
      </c>
      <c r="W5" s="1368">
        <f t="shared" si="1"/>
        <v>0</v>
      </c>
      <c r="X5" s="885" t="e">
        <f t="shared" si="2"/>
        <v>#DIV/0!</v>
      </c>
      <c r="Y5" s="570" t="e">
        <f t="shared" si="3"/>
        <v>#DIV/0!</v>
      </c>
      <c r="Z5" s="570"/>
      <c r="AA5" s="570"/>
      <c r="AB5" s="868">
        <v>6.3822120420142847E-2</v>
      </c>
      <c r="AC5" s="571" t="e">
        <v>#DIV/0!</v>
      </c>
      <c r="AD5" s="813" t="e">
        <v>#DIV/0!</v>
      </c>
      <c r="AE5" s="570"/>
      <c r="AF5" s="570"/>
      <c r="AG5" s="867">
        <v>5.029886856881995</v>
      </c>
      <c r="AH5" s="813">
        <v>1.4298294188324383</v>
      </c>
      <c r="AI5" s="858">
        <v>2.8596588376648766</v>
      </c>
      <c r="AJ5" s="435" t="s">
        <v>5</v>
      </c>
      <c r="AL5" s="309" t="s">
        <v>32</v>
      </c>
      <c r="AM5" s="307">
        <v>51</v>
      </c>
      <c r="AN5" s="307">
        <v>53</v>
      </c>
      <c r="AO5" s="307">
        <v>55</v>
      </c>
      <c r="AP5" s="307">
        <v>57</v>
      </c>
      <c r="AQ5" s="307">
        <v>59</v>
      </c>
      <c r="AR5" s="370">
        <v>61</v>
      </c>
      <c r="AS5" s="307">
        <v>62</v>
      </c>
      <c r="AT5" s="307">
        <v>63</v>
      </c>
      <c r="AU5" s="307">
        <v>66</v>
      </c>
      <c r="AV5" s="307">
        <v>67</v>
      </c>
      <c r="AW5" s="307">
        <v>69</v>
      </c>
      <c r="AX5" s="307">
        <v>71</v>
      </c>
      <c r="AY5" s="307">
        <v>72</v>
      </c>
      <c r="AZ5" s="307">
        <v>73</v>
      </c>
      <c r="BA5" s="307">
        <v>75</v>
      </c>
      <c r="BB5" s="307">
        <v>95</v>
      </c>
      <c r="BC5" s="307">
        <v>97</v>
      </c>
      <c r="BD5" s="307">
        <v>101</v>
      </c>
      <c r="BE5" s="307">
        <v>103</v>
      </c>
      <c r="BF5" s="307">
        <v>105</v>
      </c>
      <c r="BG5" s="307">
        <v>107</v>
      </c>
      <c r="BH5" s="307">
        <v>108</v>
      </c>
      <c r="BI5" s="307">
        <v>118</v>
      </c>
      <c r="BJ5" s="307">
        <v>121</v>
      </c>
      <c r="BK5" s="307">
        <v>184</v>
      </c>
      <c r="BL5" s="307">
        <v>185</v>
      </c>
      <c r="BM5" s="307">
        <v>189</v>
      </c>
      <c r="BN5" s="307">
        <v>193</v>
      </c>
      <c r="BO5" s="307">
        <v>195</v>
      </c>
      <c r="BP5" s="307">
        <v>197</v>
      </c>
      <c r="BQ5" s="307">
        <v>208</v>
      </c>
      <c r="BR5" s="307">
        <v>209</v>
      </c>
      <c r="BS5" s="307"/>
      <c r="BT5" s="375" t="s">
        <v>33</v>
      </c>
      <c r="BU5" s="375" t="s">
        <v>34</v>
      </c>
      <c r="BV5" s="307"/>
      <c r="BW5" s="307"/>
    </row>
    <row r="6" spans="1:75" ht="17">
      <c r="A6" s="435" t="s">
        <v>839</v>
      </c>
      <c r="B6" s="435" t="s">
        <v>6</v>
      </c>
      <c r="C6" s="433">
        <f>AVERAGE(AP$50:AP$54)</f>
        <v>1337474.1633470529</v>
      </c>
      <c r="D6" s="433">
        <f>STDEV(AP$50:AP$54)</f>
        <v>96507.922937826035</v>
      </c>
      <c r="E6" s="433">
        <v>193015.84587565207</v>
      </c>
      <c r="F6" s="433">
        <f>AVERAGE(AP$55:AP$59)</f>
        <v>1464431.6415468708</v>
      </c>
      <c r="G6" s="433">
        <f>STDEV(AP$55:AP$59)</f>
        <v>91028.942712611883</v>
      </c>
      <c r="H6" s="433">
        <v>182057.88542522377</v>
      </c>
      <c r="I6" s="721" t="e">
        <f>AVERAGE(AP$60:AP$64)</f>
        <v>#DIV/0!</v>
      </c>
      <c r="J6" s="721" t="e">
        <f>STDEV(AP$60:AP$64)</f>
        <v>#DIV/0!</v>
      </c>
      <c r="K6" s="721" t="e">
        <v>#DIV/0!</v>
      </c>
      <c r="L6" s="878" t="e">
        <v>#DIV/0!</v>
      </c>
      <c r="M6" s="573" t="e">
        <v>#DIV/0!</v>
      </c>
      <c r="N6" s="864" t="e">
        <v>#DIV/0!</v>
      </c>
      <c r="O6" s="435"/>
      <c r="P6" s="433"/>
      <c r="Q6" s="778">
        <v>0.43316566400000001</v>
      </c>
      <c r="R6" s="570">
        <f t="shared" si="0"/>
        <v>0.23581611682747461</v>
      </c>
      <c r="S6" s="736"/>
      <c r="T6" s="736"/>
      <c r="U6" s="736">
        <v>0</v>
      </c>
      <c r="V6" s="736">
        <v>0</v>
      </c>
      <c r="W6" s="1368">
        <f t="shared" si="1"/>
        <v>0</v>
      </c>
      <c r="X6" s="885" t="e">
        <f t="shared" si="2"/>
        <v>#DIV/0!</v>
      </c>
      <c r="Y6" s="570" t="e">
        <f t="shared" si="3"/>
        <v>#DIV/0!</v>
      </c>
      <c r="Z6" s="570"/>
      <c r="AA6" s="570"/>
      <c r="AB6" s="885">
        <v>0.91330597168351713</v>
      </c>
      <c r="AC6" s="570">
        <v>8.6982340926604701E-2</v>
      </c>
      <c r="AD6" s="573">
        <v>0.1739646818532094</v>
      </c>
      <c r="AE6" s="570"/>
      <c r="AF6" s="570"/>
      <c r="AG6" s="868" t="e">
        <v>#DIV/0!</v>
      </c>
      <c r="AH6" s="571" t="e">
        <v>#DIV/0!</v>
      </c>
      <c r="AI6" s="862" t="e">
        <v>#DIV/0!</v>
      </c>
      <c r="AJ6" s="435" t="s">
        <v>6</v>
      </c>
      <c r="AL6" s="309"/>
      <c r="AM6" s="375" t="s">
        <v>35</v>
      </c>
      <c r="AN6" s="375" t="s">
        <v>35</v>
      </c>
      <c r="AO6" s="375" t="s">
        <v>35</v>
      </c>
      <c r="AP6" s="375" t="s">
        <v>35</v>
      </c>
      <c r="AQ6" s="375" t="s">
        <v>35</v>
      </c>
      <c r="AR6" s="376" t="s">
        <v>35</v>
      </c>
      <c r="AS6" s="375" t="s">
        <v>35</v>
      </c>
      <c r="AT6" s="375" t="s">
        <v>35</v>
      </c>
      <c r="AU6" s="375" t="s">
        <v>35</v>
      </c>
      <c r="AV6" s="375" t="s">
        <v>35</v>
      </c>
      <c r="AW6" s="375" t="s">
        <v>35</v>
      </c>
      <c r="AX6" s="375" t="s">
        <v>35</v>
      </c>
      <c r="AY6" s="375" t="s">
        <v>35</v>
      </c>
      <c r="AZ6" s="375" t="s">
        <v>35</v>
      </c>
      <c r="BA6" s="375" t="s">
        <v>35</v>
      </c>
      <c r="BB6" s="375" t="s">
        <v>35</v>
      </c>
      <c r="BC6" s="375" t="s">
        <v>35</v>
      </c>
      <c r="BD6" s="375" t="s">
        <v>35</v>
      </c>
      <c r="BE6" s="375" t="s">
        <v>35</v>
      </c>
      <c r="BF6" s="375" t="s">
        <v>35</v>
      </c>
      <c r="BG6" s="375" t="s">
        <v>35</v>
      </c>
      <c r="BH6" s="375" t="s">
        <v>35</v>
      </c>
      <c r="BI6" s="375" t="s">
        <v>35</v>
      </c>
      <c r="BJ6" s="375" t="s">
        <v>35</v>
      </c>
      <c r="BK6" s="375" t="s">
        <v>35</v>
      </c>
      <c r="BL6" s="375" t="s">
        <v>35</v>
      </c>
      <c r="BM6" s="375" t="s">
        <v>35</v>
      </c>
      <c r="BN6" s="375" t="s">
        <v>35</v>
      </c>
      <c r="BO6" s="375" t="s">
        <v>35</v>
      </c>
      <c r="BP6" s="375" t="s">
        <v>35</v>
      </c>
      <c r="BQ6" s="375" t="s">
        <v>35</v>
      </c>
      <c r="BR6" s="375" t="s">
        <v>35</v>
      </c>
      <c r="BS6" s="307"/>
      <c r="BT6" s="307"/>
      <c r="BU6" s="307"/>
      <c r="BV6" s="307"/>
      <c r="BW6" s="307"/>
    </row>
    <row r="7" spans="1:75" ht="19" customHeight="1">
      <c r="A7" s="577" t="s">
        <v>313</v>
      </c>
      <c r="B7" s="577" t="s">
        <v>7</v>
      </c>
      <c r="C7" s="1448">
        <f>AVERAGE(AQ$50:AQ$54)</f>
        <v>1018.9746132816766</v>
      </c>
      <c r="D7" s="433">
        <f>STDEV(AQ$50:AQ$54)</f>
        <v>57.025445239782044</v>
      </c>
      <c r="E7" s="1448">
        <v>114.05089047956409</v>
      </c>
      <c r="F7" s="1448">
        <f>AVERAGE(AQ$55:AQ$59)</f>
        <v>124.90645330539482</v>
      </c>
      <c r="G7" s="433">
        <f>STDEV(AQ$55:AQ$59)</f>
        <v>5.3960592985158575</v>
      </c>
      <c r="H7" s="1448">
        <v>10.792118597031715</v>
      </c>
      <c r="I7" s="842">
        <f>AVERAGE(AQ$60:AQ$64)</f>
        <v>316.11989179101772</v>
      </c>
      <c r="J7" s="721">
        <f>STDEV(AQ$60:AQ$64)</f>
        <v>51.320676504430409</v>
      </c>
      <c r="K7" s="842">
        <v>102.64135300886082</v>
      </c>
      <c r="L7" s="930">
        <v>3.22338024193462</v>
      </c>
      <c r="M7" s="570">
        <v>0.55352128022944924</v>
      </c>
      <c r="N7" s="879">
        <v>1.1070425604588985</v>
      </c>
      <c r="O7" s="577">
        <v>0.95</v>
      </c>
      <c r="P7" s="576">
        <v>-1.26</v>
      </c>
      <c r="Q7" s="778">
        <v>0.43316566400000001</v>
      </c>
      <c r="R7" s="570">
        <f t="shared" si="0"/>
        <v>0.23581611682747461</v>
      </c>
      <c r="S7" s="781">
        <f>O7*(((1-(2*C46))/(1-C46))^P7)</f>
        <v>5.2614247520948574</v>
      </c>
      <c r="T7" s="781">
        <f>O7*(((1-(2*C47))/(1-C47))^P7)</f>
        <v>6.6351542334672171</v>
      </c>
      <c r="U7" s="781">
        <v>0.60375080467579867</v>
      </c>
      <c r="V7" s="781">
        <v>0.76997867669656106</v>
      </c>
      <c r="W7" s="885">
        <f t="shared" si="1"/>
        <v>5.8651755567706561</v>
      </c>
      <c r="X7" s="885">
        <f t="shared" si="2"/>
        <v>0.54957949864153788</v>
      </c>
      <c r="Y7" s="570">
        <f t="shared" si="3"/>
        <v>9.4374204978480813E-2</v>
      </c>
      <c r="Z7" s="570"/>
      <c r="AA7" s="570"/>
      <c r="AB7" s="885">
        <v>8.1579020644377405</v>
      </c>
      <c r="AC7" s="570">
        <v>0.57674864039347074</v>
      </c>
      <c r="AD7" s="573">
        <v>1.1534972807869415</v>
      </c>
      <c r="AE7" s="570"/>
      <c r="AF7" s="570"/>
      <c r="AG7" s="873">
        <v>0.39512367474796134</v>
      </c>
      <c r="AH7" s="573">
        <v>6.6378903374301787E-2</v>
      </c>
      <c r="AI7" s="864">
        <v>0.13275780674860357</v>
      </c>
      <c r="AJ7" s="577" t="s">
        <v>7</v>
      </c>
      <c r="AL7" s="309"/>
      <c r="AM7" s="373"/>
      <c r="AN7" s="373"/>
      <c r="AO7" s="373"/>
      <c r="AP7" s="373"/>
      <c r="AQ7" s="373"/>
      <c r="AR7" s="374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</row>
    <row r="8" spans="1:75" ht="17">
      <c r="A8" s="577" t="s">
        <v>313</v>
      </c>
      <c r="B8" s="577" t="s">
        <v>477</v>
      </c>
      <c r="C8" s="433">
        <f>AVERAGE(AR$50:AR$54)</f>
        <v>456400</v>
      </c>
      <c r="D8" s="433">
        <f>STDEV(AR$50:AR$54)</f>
        <v>0</v>
      </c>
      <c r="E8" s="433">
        <v>0</v>
      </c>
      <c r="F8" s="433">
        <f>AVERAGE(AR$55:AR$59)</f>
        <v>23000</v>
      </c>
      <c r="G8" s="433">
        <f>STDEV(AR$55:AR$59)</f>
        <v>0</v>
      </c>
      <c r="H8" s="433">
        <v>0</v>
      </c>
      <c r="I8" s="721">
        <f>AVERAGE(AR$60:AR$64)</f>
        <v>234300</v>
      </c>
      <c r="J8" s="721">
        <f>STDEV(AR$60:AR$64)</f>
        <v>0</v>
      </c>
      <c r="K8" s="721">
        <v>0</v>
      </c>
      <c r="L8" s="930">
        <v>1.9479300042680325</v>
      </c>
      <c r="M8" s="570">
        <v>0</v>
      </c>
      <c r="N8" s="879">
        <v>0</v>
      </c>
      <c r="O8" s="577">
        <v>0.874</v>
      </c>
      <c r="P8" s="576">
        <v>-0.51700000000000002</v>
      </c>
      <c r="Q8" s="778">
        <v>0.43316566400000001</v>
      </c>
      <c r="R8" s="570">
        <f t="shared" si="0"/>
        <v>0.23581611682747461</v>
      </c>
      <c r="S8" s="781">
        <f>O8*(((1-(2*C46))/(1-C46))^P8)</f>
        <v>1.7641403244146705</v>
      </c>
      <c r="T8" s="781">
        <f>O8*(((1-(2*C47))/(1-C47))^P8)</f>
        <v>1.9403123619526703</v>
      </c>
      <c r="U8" s="781">
        <v>8.0411839678516506E-2</v>
      </c>
      <c r="V8" s="781">
        <v>9.5760197859483309E-2</v>
      </c>
      <c r="W8" s="885">
        <f t="shared" si="1"/>
        <v>1.844552164093187</v>
      </c>
      <c r="X8" s="885">
        <f t="shared" si="2"/>
        <v>1.0560449534511636</v>
      </c>
      <c r="Y8" s="570">
        <f t="shared" si="3"/>
        <v>0</v>
      </c>
      <c r="Z8" s="570"/>
      <c r="AA8" s="570"/>
      <c r="AB8" s="885">
        <v>19.843478260869563</v>
      </c>
      <c r="AC8" s="570">
        <v>0</v>
      </c>
      <c r="AD8" s="573">
        <v>0</v>
      </c>
      <c r="AE8" s="570"/>
      <c r="AF8" s="570"/>
      <c r="AG8" s="870">
        <v>9.8164746052069998E-2</v>
      </c>
      <c r="AH8" s="871">
        <v>0</v>
      </c>
      <c r="AI8" s="872">
        <v>0</v>
      </c>
      <c r="AJ8" s="577" t="s">
        <v>477</v>
      </c>
      <c r="AK8" s="839"/>
      <c r="AL8" s="309" t="s">
        <v>36</v>
      </c>
      <c r="AM8" s="310">
        <v>54.3</v>
      </c>
      <c r="AN8" s="311">
        <v>2646</v>
      </c>
      <c r="AO8" s="311">
        <v>1933</v>
      </c>
      <c r="AP8" s="311">
        <v>184300</v>
      </c>
      <c r="AQ8" s="311">
        <v>506</v>
      </c>
      <c r="AR8" s="372">
        <v>10770</v>
      </c>
      <c r="AS8" s="311">
        <v>10770</v>
      </c>
      <c r="AT8" s="311">
        <v>131</v>
      </c>
      <c r="AU8" s="311">
        <v>323</v>
      </c>
      <c r="AV8" s="311">
        <v>323</v>
      </c>
      <c r="AW8" s="310">
        <v>9.7100000000000009</v>
      </c>
      <c r="AX8" s="310">
        <v>9.7100000000000009</v>
      </c>
      <c r="AY8" s="310">
        <v>32.6</v>
      </c>
      <c r="AZ8" s="310">
        <v>32.6</v>
      </c>
      <c r="BA8" s="310">
        <v>1.81</v>
      </c>
      <c r="BB8" s="310">
        <v>0.92800000000000005</v>
      </c>
      <c r="BC8" s="310">
        <v>0.92800000000000005</v>
      </c>
      <c r="BD8" s="310">
        <v>0.68300000000000005</v>
      </c>
      <c r="BE8" s="310">
        <v>0.14000000000000001</v>
      </c>
      <c r="BF8" s="310">
        <v>0.55600000000000005</v>
      </c>
      <c r="BG8" s="310">
        <v>0.19700000000000001</v>
      </c>
      <c r="BH8" s="310">
        <v>0.55600000000000005</v>
      </c>
      <c r="BI8" s="310">
        <v>1.68</v>
      </c>
      <c r="BJ8" s="310">
        <v>0.13300000000000001</v>
      </c>
      <c r="BK8" s="310">
        <v>9.0300000000000005E-2</v>
      </c>
      <c r="BL8" s="310">
        <v>3.95E-2</v>
      </c>
      <c r="BM8" s="310">
        <v>0.50600000000000001</v>
      </c>
      <c r="BN8" s="310">
        <v>0.48</v>
      </c>
      <c r="BO8" s="310">
        <v>0.98199999999999998</v>
      </c>
      <c r="BP8" s="310">
        <v>0.14799999999999999</v>
      </c>
      <c r="BQ8" s="310">
        <v>2.5299999999999998</v>
      </c>
      <c r="BR8" s="310">
        <v>0.111</v>
      </c>
      <c r="BS8" s="307"/>
      <c r="BT8" s="307"/>
      <c r="BU8" s="307"/>
      <c r="BV8" s="307"/>
      <c r="BW8" s="307"/>
    </row>
    <row r="9" spans="1:75" ht="17">
      <c r="A9" s="577" t="s">
        <v>313</v>
      </c>
      <c r="B9" s="577" t="s">
        <v>475</v>
      </c>
      <c r="C9" s="433">
        <f>AVERAGE(AS$50:AS$54)</f>
        <v>834469.4515637022</v>
      </c>
      <c r="D9" s="433">
        <f>STDEV(AS$50:AS$54)</f>
        <v>30020.643644032592</v>
      </c>
      <c r="E9" s="433">
        <v>60041.287288065185</v>
      </c>
      <c r="F9" s="433">
        <f>AVERAGE(AS$55:AS$59)</f>
        <v>41785.601143429987</v>
      </c>
      <c r="G9" s="433">
        <f>STDEV(AS$55:AS$59)</f>
        <v>1330.3532605489827</v>
      </c>
      <c r="H9" s="433">
        <v>2660.7065210979654</v>
      </c>
      <c r="I9" s="721" t="e">
        <f>AVERAGE(AS$60:AS$64)</f>
        <v>#DIV/0!</v>
      </c>
      <c r="J9" s="721" t="e">
        <f>STDEV(AS$60:AS$64)</f>
        <v>#DIV/0!</v>
      </c>
      <c r="K9" s="721" t="e">
        <v>#DIV/0!</v>
      </c>
      <c r="L9" s="1331" t="e">
        <v>#DIV/0!</v>
      </c>
      <c r="M9" s="573" t="e">
        <v>#DIV/0!</v>
      </c>
      <c r="N9" s="864" t="e">
        <v>#DIV/0!</v>
      </c>
      <c r="O9" s="577">
        <v>0.874</v>
      </c>
      <c r="P9" s="576">
        <v>-0.52</v>
      </c>
      <c r="Q9" s="778">
        <v>0.43316566400000001</v>
      </c>
      <c r="R9" s="570">
        <f t="shared" si="0"/>
        <v>0.23581611682747461</v>
      </c>
      <c r="S9" s="781">
        <f>O9*(((1-(2*C46))/(1-C46))^P9)</f>
        <v>1.7713446865211813</v>
      </c>
      <c r="T9" s="781">
        <f>O9*(((1-(2*C47))/(1-C47))^P9)</f>
        <v>1.949312545292408</v>
      </c>
      <c r="U9" s="781">
        <v>8.121931694590967E-2</v>
      </c>
      <c r="V9" s="781">
        <v>9.6748541825317114E-2</v>
      </c>
      <c r="W9" s="885">
        <f t="shared" si="1"/>
        <v>1.8525640034670909</v>
      </c>
      <c r="X9" s="885" t="e">
        <f t="shared" si="2"/>
        <v>#DIV/0!</v>
      </c>
      <c r="Y9" s="570" t="e">
        <f t="shared" si="3"/>
        <v>#DIV/0!</v>
      </c>
      <c r="Z9" s="570"/>
      <c r="AA9" s="570"/>
      <c r="AB9" s="885">
        <v>19.970263170305188</v>
      </c>
      <c r="AC9" s="570">
        <v>0.95938058455558961</v>
      </c>
      <c r="AD9" s="573">
        <v>1.9187611691111792</v>
      </c>
      <c r="AE9" s="570"/>
      <c r="AF9" s="570"/>
      <c r="AG9" s="870" t="e">
        <v>#DIV/0!</v>
      </c>
      <c r="AH9" s="871" t="e">
        <v>#DIV/0!</v>
      </c>
      <c r="AI9" s="872" t="e">
        <v>#DIV/0!</v>
      </c>
      <c r="AJ9" s="577" t="s">
        <v>475</v>
      </c>
      <c r="AL9" s="309" t="s">
        <v>1399</v>
      </c>
      <c r="AM9" s="310">
        <v>63.24231290457579</v>
      </c>
      <c r="AN9" s="310">
        <v>0.17759968838276999</v>
      </c>
      <c r="AO9" s="310">
        <v>-3.9028135391019099</v>
      </c>
      <c r="AP9" s="310">
        <v>29.00883359858873</v>
      </c>
      <c r="AQ9" s="310">
        <v>0.36107094955365043</v>
      </c>
      <c r="AR9" s="371">
        <v>3.2443461339079223</v>
      </c>
      <c r="AS9" s="310">
        <v>10.229287732807165</v>
      </c>
      <c r="AT9" s="310">
        <v>4.4040020146951207E-2</v>
      </c>
      <c r="AU9" s="310">
        <v>9.0132277285432383E-2</v>
      </c>
      <c r="AV9" s="310">
        <v>-3.5421710007291014</v>
      </c>
      <c r="AW9" s="310">
        <v>1.3036633212627312E-2</v>
      </c>
      <c r="AX9" s="310">
        <v>3.2917561133233825E-2</v>
      </c>
      <c r="AY9" s="310">
        <v>0.46779259119253574</v>
      </c>
      <c r="AZ9" s="310">
        <v>0.81571096263384624</v>
      </c>
      <c r="BA9" s="310">
        <v>0.10994201816215396</v>
      </c>
      <c r="BB9" s="310">
        <v>8.8760623330656707E-2</v>
      </c>
      <c r="BC9" s="310">
        <v>0.11292180751854154</v>
      </c>
      <c r="BD9" s="310">
        <v>1.0230467197490047E-2</v>
      </c>
      <c r="BE9" s="310">
        <v>4.7324191258291915E-3</v>
      </c>
      <c r="BF9" s="310">
        <v>1.5993722913045093E-2</v>
      </c>
      <c r="BG9" s="310">
        <v>-0.65925215822045746</v>
      </c>
      <c r="BH9" s="310">
        <v>1.7330762836472641E-2</v>
      </c>
      <c r="BI9" s="310"/>
      <c r="BJ9" s="310"/>
      <c r="BK9" s="310">
        <v>7.2936433812792814E-3</v>
      </c>
      <c r="BL9" s="1377">
        <v>2.5208779617262389E-3</v>
      </c>
      <c r="BM9" s="1377">
        <v>8.3899841963949017E-3</v>
      </c>
      <c r="BN9" s="1377">
        <v>4.6883432170219796E-3</v>
      </c>
      <c r="BO9" s="1377">
        <v>9.1981063740283579E-3</v>
      </c>
      <c r="BP9" s="310">
        <v>2.1994812108219179E-2</v>
      </c>
      <c r="BQ9" s="310"/>
      <c r="BR9" s="310"/>
      <c r="BS9" s="307"/>
      <c r="BT9" s="307"/>
      <c r="BU9" s="307"/>
      <c r="BV9" s="307"/>
      <c r="BW9" s="307"/>
    </row>
    <row r="10" spans="1:75" ht="18" thickBot="1">
      <c r="A10" s="435" t="s">
        <v>839</v>
      </c>
      <c r="B10" s="435" t="s">
        <v>9</v>
      </c>
      <c r="C10" s="1448">
        <f>AVERAGE(AT$50:AT$54)</f>
        <v>374.7823199304479</v>
      </c>
      <c r="D10" s="433">
        <f>STDEV(AT$50:AT$54)</f>
        <v>139.29424476340986</v>
      </c>
      <c r="E10" s="1448">
        <v>278.58848952681973</v>
      </c>
      <c r="F10" s="1448">
        <f>AVERAGE(AT$55:AT$59)</f>
        <v>248.66080880932276</v>
      </c>
      <c r="G10" s="433">
        <f>STDEV(AT$55:AT$59)</f>
        <v>12.490132566119936</v>
      </c>
      <c r="H10" s="1448">
        <v>24.980265132239872</v>
      </c>
      <c r="I10" s="1448">
        <f>AVERAGE(AT$60:AT$64)</f>
        <v>1421.9477112408908</v>
      </c>
      <c r="J10" s="433">
        <f>STDEV(AT$60:AT$64)</f>
        <v>144.16687548608627</v>
      </c>
      <c r="K10" s="1448">
        <v>288.33375097217254</v>
      </c>
      <c r="L10" s="930">
        <v>0.26356969174582845</v>
      </c>
      <c r="M10" s="570">
        <v>0.10153959046621312</v>
      </c>
      <c r="N10" s="879">
        <v>0.20307918093242625</v>
      </c>
      <c r="O10" s="435">
        <v>0.77</v>
      </c>
      <c r="P10" s="433">
        <v>1.39</v>
      </c>
      <c r="Q10" s="778">
        <v>0.43316566400000001</v>
      </c>
      <c r="R10" s="570">
        <f t="shared" si="0"/>
        <v>0.23581611682747461</v>
      </c>
      <c r="S10" s="1358">
        <f>O10*(((1-(2*C47))/(1-C47))^P10)</f>
        <v>9.0213347180050543E-2</v>
      </c>
      <c r="T10" s="1358">
        <f>O10*(((1-(2*C46))/(1-C46))^P10)</f>
        <v>0.11652337505475868</v>
      </c>
      <c r="U10" s="1358">
        <v>1.3150310086083541E-2</v>
      </c>
      <c r="V10" s="1358">
        <v>1.3159717788624598E-2</v>
      </c>
      <c r="W10" s="885">
        <f t="shared" si="1"/>
        <v>0.10336365726613408</v>
      </c>
      <c r="X10" s="885">
        <f t="shared" si="2"/>
        <v>2.5499261415180596</v>
      </c>
      <c r="Y10" s="570">
        <f t="shared" si="3"/>
        <v>0.98235291931259283</v>
      </c>
      <c r="Z10" s="570"/>
      <c r="AA10" s="570"/>
      <c r="AB10" s="885">
        <v>1.5072030117051425</v>
      </c>
      <c r="AC10" s="570">
        <v>0.56527029485438307</v>
      </c>
      <c r="AD10" s="573">
        <v>1.1305405897087661</v>
      </c>
      <c r="AE10" s="570"/>
      <c r="AF10" s="570"/>
      <c r="AG10" s="873">
        <v>0.17487338447369769</v>
      </c>
      <c r="AH10" s="573">
        <v>1.9786455371477541E-2</v>
      </c>
      <c r="AI10" s="864">
        <v>3.9572910742955082E-2</v>
      </c>
      <c r="AJ10" s="435" t="s">
        <v>9</v>
      </c>
      <c r="AL10" s="797" t="s">
        <v>1401</v>
      </c>
      <c r="AM10" s="798">
        <v>21.872341043765385</v>
      </c>
      <c r="AN10" s="798">
        <v>0.1795687165938982</v>
      </c>
      <c r="AO10" s="798">
        <v>-1.599506936288088</v>
      </c>
      <c r="AP10" s="798">
        <v>24.965416725415309</v>
      </c>
      <c r="AQ10" s="798">
        <v>0.33140939686076792</v>
      </c>
      <c r="AR10" s="799">
        <v>2.9416027484756686</v>
      </c>
      <c r="AS10" s="798">
        <v>9.7026418157369818</v>
      </c>
      <c r="AT10" s="798">
        <v>4.4406783390451648E-2</v>
      </c>
      <c r="AU10" s="798">
        <v>6.6823600527055493E-2</v>
      </c>
      <c r="AV10" s="798">
        <v>-0.38371400101144709</v>
      </c>
      <c r="AW10" s="798">
        <v>1.1020598447521662E-2</v>
      </c>
      <c r="AX10" s="798">
        <v>2.306067441818677E-2</v>
      </c>
      <c r="AY10" s="798">
        <v>0.43285859678415989</v>
      </c>
      <c r="AZ10" s="798">
        <v>0.71928072208875582</v>
      </c>
      <c r="BA10" s="798">
        <v>9.326542240919225E-2</v>
      </c>
      <c r="BB10" s="798">
        <v>8.53752881867514E-2</v>
      </c>
      <c r="BC10" s="798">
        <v>0.11200041239700397</v>
      </c>
      <c r="BD10" s="798">
        <v>1.8733122304645106E-2</v>
      </c>
      <c r="BE10" s="798">
        <v>0</v>
      </c>
      <c r="BF10" s="798">
        <v>1.6771130453483107E-2</v>
      </c>
      <c r="BG10" s="798">
        <v>-0.91754662559351929</v>
      </c>
      <c r="BH10" s="798">
        <v>8.9346348498647223E-3</v>
      </c>
      <c r="BI10" s="798"/>
      <c r="BJ10" s="798"/>
      <c r="BK10" s="798">
        <v>0</v>
      </c>
      <c r="BL10" s="1382">
        <v>0</v>
      </c>
      <c r="BM10" s="1381">
        <v>6.8737897212793218E-3</v>
      </c>
      <c r="BN10" s="1381">
        <v>2.1326506330201396E-3</v>
      </c>
      <c r="BO10" s="1381">
        <v>6.1641587871670957E-3</v>
      </c>
      <c r="BP10" s="798">
        <v>1.9180380830345491E-2</v>
      </c>
      <c r="BQ10" s="798"/>
      <c r="BR10" s="798"/>
      <c r="BS10" s="307"/>
      <c r="BT10" s="307"/>
      <c r="BU10" s="307"/>
      <c r="BV10" s="307"/>
      <c r="BW10" s="307"/>
    </row>
    <row r="11" spans="1:75" ht="17">
      <c r="A11" s="435" t="s">
        <v>313</v>
      </c>
      <c r="B11" s="435" t="s">
        <v>468</v>
      </c>
      <c r="C11" s="1448">
        <f>AVERAGE(AU$50:AU$54)</f>
        <v>91.201128688337803</v>
      </c>
      <c r="D11" s="433">
        <f>STDEV(AU$50:AU$54)</f>
        <v>33.871797114439758</v>
      </c>
      <c r="E11" s="1448">
        <v>67.743594228879516</v>
      </c>
      <c r="F11" s="1448">
        <f>AVERAGE(AU$55:AU$59)</f>
        <v>79.889272737442326</v>
      </c>
      <c r="G11" s="433">
        <f>STDEV(AU$55:AU$59)</f>
        <v>4.1810808627200853</v>
      </c>
      <c r="H11" s="1448">
        <v>8.3621617254401706</v>
      </c>
      <c r="I11" s="1448">
        <f>AVERAGE(AU$60:AU$64)</f>
        <v>67.917763396002528</v>
      </c>
      <c r="J11" s="433">
        <f>STDEV(AU$60:AU$64)</f>
        <v>14.489489021700935</v>
      </c>
      <c r="K11" s="1448">
        <v>28.97897804340187</v>
      </c>
      <c r="L11" s="930">
        <v>1.3428170205867773</v>
      </c>
      <c r="M11" s="570">
        <v>0.57514110375311633</v>
      </c>
      <c r="N11" s="879">
        <v>1.1502822075062327</v>
      </c>
      <c r="O11" s="435">
        <v>0.66</v>
      </c>
      <c r="P11" s="433">
        <v>0.99</v>
      </c>
      <c r="Q11" s="778">
        <v>0.43316566400000001</v>
      </c>
      <c r="R11" s="570">
        <f t="shared" si="0"/>
        <v>0.23581611682747461</v>
      </c>
      <c r="S11" s="1358">
        <f>O11*(((1-(2*C47))/(1-C47))^P11)</f>
        <v>0.14331807456462928</v>
      </c>
      <c r="T11" s="1358">
        <f>O11*(((1-(2*C46))/(1-C46))^P11)</f>
        <v>0.17197283064573457</v>
      </c>
      <c r="U11" s="1358">
        <v>1.4585399201891336E-2</v>
      </c>
      <c r="V11" s="1358">
        <v>1.4069356879213957E-2</v>
      </c>
      <c r="W11" s="885">
        <f t="shared" si="1"/>
        <v>0.15790347376652061</v>
      </c>
      <c r="X11" s="885">
        <f t="shared" si="2"/>
        <v>8.5040372358894061</v>
      </c>
      <c r="Y11" s="570">
        <f t="shared" si="3"/>
        <v>3.6423587780186018</v>
      </c>
      <c r="Z11" s="570"/>
      <c r="AA11" s="570"/>
      <c r="AB11" s="885">
        <v>1.1415941785835517</v>
      </c>
      <c r="AC11" s="570">
        <v>0.42817323344424479</v>
      </c>
      <c r="AD11" s="573">
        <v>0.85634646688848959</v>
      </c>
      <c r="AE11" s="570"/>
      <c r="AF11" s="570"/>
      <c r="AG11" s="873">
        <v>1.1762647758530931</v>
      </c>
      <c r="AH11" s="573">
        <v>0.25838353450978807</v>
      </c>
      <c r="AI11" s="864">
        <v>0.51676706901957614</v>
      </c>
      <c r="AJ11" s="435" t="s">
        <v>468</v>
      </c>
      <c r="AL11" s="335" t="s">
        <v>100</v>
      </c>
      <c r="AM11" s="333"/>
      <c r="AN11" s="332">
        <v>25.296812376517252</v>
      </c>
      <c r="AO11" s="330"/>
      <c r="AP11" s="332">
        <v>948537.90154503658</v>
      </c>
      <c r="AQ11" s="332">
        <v>4656.9309756923594</v>
      </c>
      <c r="AR11" s="334">
        <v>55500</v>
      </c>
      <c r="AS11" s="332">
        <v>57025.46724026923</v>
      </c>
      <c r="AT11" s="332">
        <v>154.14310769836814</v>
      </c>
      <c r="AU11" s="330"/>
      <c r="AV11" s="330"/>
      <c r="AW11" s="332">
        <v>58.718190067188594</v>
      </c>
      <c r="AX11" s="332">
        <v>58.279626934354283</v>
      </c>
      <c r="AY11" s="332">
        <v>182.37880276669176</v>
      </c>
      <c r="AZ11" s="332">
        <v>174.84876769248103</v>
      </c>
      <c r="BA11" s="330">
        <v>4.0426067364698079</v>
      </c>
      <c r="BB11" s="330">
        <v>6.4048492477374026</v>
      </c>
      <c r="BC11" s="333">
        <v>7.1473200650588327</v>
      </c>
      <c r="BD11" s="332">
        <v>20.584234917698474</v>
      </c>
      <c r="BE11" s="333">
        <v>2.2557119545546773</v>
      </c>
      <c r="BF11" s="333">
        <v>1.8361660907482842</v>
      </c>
      <c r="BG11" s="330"/>
      <c r="BH11" s="333">
        <v>1.5409653774048595</v>
      </c>
      <c r="BI11" s="330"/>
      <c r="BJ11" s="330"/>
      <c r="BK11" s="333">
        <v>2.8563536636322442</v>
      </c>
      <c r="BL11" s="333">
        <v>1.1779018170924906</v>
      </c>
      <c r="BM11" s="333">
        <v>9.7386245246057364</v>
      </c>
      <c r="BN11" s="332">
        <v>15.494627108762312</v>
      </c>
      <c r="BO11" s="332">
        <v>30.605768654964731</v>
      </c>
      <c r="BP11" s="330">
        <v>0.66529216898195065</v>
      </c>
      <c r="BQ11" s="330"/>
      <c r="BR11" s="330"/>
      <c r="BS11" s="327"/>
      <c r="BT11" s="329">
        <v>46.1670017242432</v>
      </c>
      <c r="BU11" s="328">
        <v>0.98776032690493321</v>
      </c>
      <c r="BV11" s="327"/>
      <c r="BW11" s="326" t="s">
        <v>1123</v>
      </c>
    </row>
    <row r="12" spans="1:75" ht="18" thickBot="1">
      <c r="A12" s="435" t="s">
        <v>313</v>
      </c>
      <c r="B12" s="435" t="s">
        <v>461</v>
      </c>
      <c r="C12" s="433">
        <f>AVERAGE(AV$50:AV$54)</f>
        <v>75.936444251532976</v>
      </c>
      <c r="D12" s="433">
        <f>STDEV(AV$50:AV$54)</f>
        <v>24.97070244703875</v>
      </c>
      <c r="E12" s="433">
        <v>49.9414048940775</v>
      </c>
      <c r="F12" s="433">
        <f>AVERAGE(AV$55:AV$59)</f>
        <v>69.054740829664453</v>
      </c>
      <c r="G12" s="433">
        <f>STDEV(AV$55:AV$59)</f>
        <v>4.1699216292728281</v>
      </c>
      <c r="H12" s="433">
        <v>8.3398432585456561</v>
      </c>
      <c r="I12" s="433">
        <f>AVERAGE(AV$60:AV$64)</f>
        <v>58.8239803479605</v>
      </c>
      <c r="J12" s="433">
        <f>STDEV(AV$60:AV$64)</f>
        <v>10.621021039715069</v>
      </c>
      <c r="K12" s="433">
        <v>21.242042079430139</v>
      </c>
      <c r="L12" s="930">
        <v>1.2909096562719389</v>
      </c>
      <c r="M12" s="570">
        <v>0.48427894631787871</v>
      </c>
      <c r="N12" s="879">
        <v>0.96855789263575742</v>
      </c>
      <c r="O12" s="435">
        <v>0.66</v>
      </c>
      <c r="P12" s="433">
        <v>0.99</v>
      </c>
      <c r="Q12" s="778">
        <v>0.43316566400000001</v>
      </c>
      <c r="R12" s="570">
        <f t="shared" si="0"/>
        <v>0.23581611682747461</v>
      </c>
      <c r="S12" s="800">
        <f>O12*(((1-(2*C47))/(1-C47))^P12)</f>
        <v>0.14331807456462928</v>
      </c>
      <c r="T12" s="800">
        <f>O12*(((1-(2*C46))/(1-C46))^P12)</f>
        <v>0.17197283064573457</v>
      </c>
      <c r="U12" s="800">
        <v>1.4585399201891336E-2</v>
      </c>
      <c r="V12" s="800">
        <v>1.4069356879213957E-2</v>
      </c>
      <c r="W12" s="885">
        <f t="shared" si="1"/>
        <v>0.15790347376652061</v>
      </c>
      <c r="X12" s="885">
        <f t="shared" si="2"/>
        <v>8.1753087850410751</v>
      </c>
      <c r="Y12" s="570">
        <f t="shared" si="3"/>
        <v>3.0669302882718323</v>
      </c>
      <c r="Z12" s="570"/>
      <c r="AA12" s="570"/>
      <c r="AB12" s="885">
        <v>1.0996557707579186</v>
      </c>
      <c r="AC12" s="570">
        <v>0.36765379154472322</v>
      </c>
      <c r="AD12" s="573">
        <v>0.73530758308944644</v>
      </c>
      <c r="AE12" s="570"/>
      <c r="AF12" s="570"/>
      <c r="AG12" s="873">
        <v>1.1739215949207467</v>
      </c>
      <c r="AH12" s="573">
        <v>0.2234984470002952</v>
      </c>
      <c r="AI12" s="864">
        <v>0.44699689400059039</v>
      </c>
      <c r="AJ12" s="435" t="s">
        <v>461</v>
      </c>
      <c r="AL12" s="325" t="s">
        <v>101</v>
      </c>
      <c r="AM12" s="322"/>
      <c r="AN12" s="321">
        <v>21.137010579000126</v>
      </c>
      <c r="AO12" s="320"/>
      <c r="AP12" s="321">
        <v>942520.369328773</v>
      </c>
      <c r="AQ12" s="321">
        <v>4626.6748418421594</v>
      </c>
      <c r="AR12" s="324">
        <v>55500</v>
      </c>
      <c r="AS12" s="321">
        <v>53976.183657455927</v>
      </c>
      <c r="AT12" s="321">
        <v>138.50185528115011</v>
      </c>
      <c r="AU12" s="320"/>
      <c r="AV12" s="320"/>
      <c r="AW12" s="321">
        <v>58.337454197436088</v>
      </c>
      <c r="AX12" s="321">
        <v>58.773402841540012</v>
      </c>
      <c r="AY12" s="321">
        <v>174.86858697710193</v>
      </c>
      <c r="AZ12" s="321">
        <v>182.33195936371888</v>
      </c>
      <c r="BA12" s="320">
        <v>4.6334701970472194</v>
      </c>
      <c r="BB12" s="320">
        <v>6.5108711687347123</v>
      </c>
      <c r="BC12" s="322">
        <v>5.7729240475567654</v>
      </c>
      <c r="BD12" s="321">
        <v>19.781850022997684</v>
      </c>
      <c r="BE12" s="322">
        <v>1.9838786437877927</v>
      </c>
      <c r="BF12" s="322">
        <v>1.0500682138694448</v>
      </c>
      <c r="BG12" s="320"/>
      <c r="BH12" s="322">
        <v>1.3453360834663362</v>
      </c>
      <c r="BI12" s="320"/>
      <c r="BJ12" s="320"/>
      <c r="BK12" s="322">
        <v>2.8955700356492082</v>
      </c>
      <c r="BL12" s="322">
        <v>1.1226474536079547</v>
      </c>
      <c r="BM12" s="322">
        <v>9.3119488673172324</v>
      </c>
      <c r="BN12" s="321">
        <v>14.980404833130905</v>
      </c>
      <c r="BO12" s="321">
        <v>30.141661812411172</v>
      </c>
      <c r="BP12" s="320">
        <v>0.66669950693524505</v>
      </c>
      <c r="BQ12" s="320"/>
      <c r="BR12" s="320"/>
      <c r="BS12" s="317"/>
      <c r="BT12" s="319">
        <v>44.130001068115298</v>
      </c>
      <c r="BU12" s="318">
        <v>1.1404543573975152</v>
      </c>
      <c r="BV12" s="317"/>
      <c r="BW12" s="316" t="s">
        <v>941</v>
      </c>
    </row>
    <row r="13" spans="1:75" ht="17">
      <c r="A13" s="435" t="s">
        <v>313</v>
      </c>
      <c r="B13" s="435" t="s">
        <v>457</v>
      </c>
      <c r="C13" s="1448">
        <f>AVERAGE(AW$50:AW$54)</f>
        <v>113.39413184531593</v>
      </c>
      <c r="D13" s="433">
        <f>STDEV(AW$50:AW$54)</f>
        <v>11.650755944965042</v>
      </c>
      <c r="E13" s="1448">
        <v>23.301511889930083</v>
      </c>
      <c r="F13" s="805">
        <f>AVERAGE(AW$55:AW$59)</f>
        <v>1.6994607055590449</v>
      </c>
      <c r="G13" s="805">
        <f>STDEV(AW$55:AW$59)</f>
        <v>1.5464101738638623</v>
      </c>
      <c r="H13" s="805">
        <v>3.0928203477277245</v>
      </c>
      <c r="I13" s="1450">
        <f>AVERAGE(AW$60:AW$64)</f>
        <v>1.9867252733332059</v>
      </c>
      <c r="J13" s="433">
        <f>STDEV(AW$60:AW$64)</f>
        <v>0.95336087508570777</v>
      </c>
      <c r="K13" s="1450">
        <v>1.9067217501714155</v>
      </c>
      <c r="L13" s="1463">
        <v>57.075899404586622</v>
      </c>
      <c r="M13" s="570">
        <v>28.009531718845093</v>
      </c>
      <c r="N13" s="1464">
        <v>56.019063437690185</v>
      </c>
      <c r="O13" s="435">
        <v>0.76</v>
      </c>
      <c r="P13" s="433">
        <v>-2.81</v>
      </c>
      <c r="Q13" s="778">
        <v>0.43316566400000001</v>
      </c>
      <c r="R13" s="570">
        <f t="shared" si="0"/>
        <v>0.23581611682747461</v>
      </c>
      <c r="S13" s="570" cm="1">
        <f t="array" ref="S13:S22">O13:O22*(((1-(2*C46))/(1-C46))^P13:P22)</f>
        <v>34.567538089472698</v>
      </c>
      <c r="T13" s="570" cm="1">
        <f t="array" ref="T13:T22">O13:O22*(((1-(2*C47))/(1-C47))^P13:P22)</f>
        <v>57.989814701751911</v>
      </c>
      <c r="U13" s="570">
        <v>9.4759902767612942</v>
      </c>
      <c r="V13" s="570">
        <v>13.946286335517918</v>
      </c>
      <c r="W13" s="885">
        <f t="shared" si="1"/>
        <v>44.043528366233993</v>
      </c>
      <c r="X13" s="885">
        <f t="shared" si="2"/>
        <v>1.2958975250571412</v>
      </c>
      <c r="Y13" s="570">
        <f t="shared" si="3"/>
        <v>0.63595113193334951</v>
      </c>
      <c r="Z13" s="570"/>
      <c r="AA13" s="570"/>
      <c r="AB13" s="868">
        <v>66.723597359089538</v>
      </c>
      <c r="AC13" s="571">
        <v>61.100404453213393</v>
      </c>
      <c r="AD13" s="571">
        <v>122.20080890642679</v>
      </c>
      <c r="AE13" s="733"/>
      <c r="AF13" s="570"/>
      <c r="AG13" s="868">
        <v>0.85540800651707316</v>
      </c>
      <c r="AH13" s="571">
        <v>0.8799753028898486</v>
      </c>
      <c r="AI13" s="862">
        <v>1.7599506057796972</v>
      </c>
      <c r="AJ13" s="435" t="s">
        <v>457</v>
      </c>
      <c r="AL13" s="315" t="s">
        <v>1143</v>
      </c>
      <c r="AM13" s="339"/>
      <c r="AN13" s="339">
        <v>193.54512980947055</v>
      </c>
      <c r="AO13" s="338"/>
      <c r="AP13" s="453" t="s">
        <v>1142</v>
      </c>
      <c r="AQ13" s="339">
        <v>390.81962428708715</v>
      </c>
      <c r="AR13" s="342">
        <v>459</v>
      </c>
      <c r="AS13" s="453" t="s">
        <v>1141</v>
      </c>
      <c r="AT13" s="339">
        <v>381.40925056041146</v>
      </c>
      <c r="AU13" s="339"/>
      <c r="AV13" s="339"/>
      <c r="AW13" s="339">
        <v>424.28909771421354</v>
      </c>
      <c r="AX13" s="339">
        <v>369.26695207883802</v>
      </c>
      <c r="AY13" s="339">
        <v>337.40236608190293</v>
      </c>
      <c r="AZ13" s="339">
        <v>378.89496565750011</v>
      </c>
      <c r="BA13" s="339">
        <v>253.14650525108104</v>
      </c>
      <c r="BB13" s="339">
        <v>492.03345352966187</v>
      </c>
      <c r="BC13" s="339">
        <v>389.29266682713131</v>
      </c>
      <c r="BD13" s="453" t="s">
        <v>285</v>
      </c>
      <c r="BE13" s="340">
        <v>1.4538309193032326</v>
      </c>
      <c r="BF13" s="340">
        <v>3.6679137087839306</v>
      </c>
      <c r="BG13" s="338"/>
      <c r="BH13" s="340">
        <v>7.6431423979341453</v>
      </c>
      <c r="BI13" s="338"/>
      <c r="BJ13" s="338"/>
      <c r="BK13" s="339">
        <v>409.27771509511092</v>
      </c>
      <c r="BL13" s="339">
        <v>48.062680592585565</v>
      </c>
      <c r="BM13" s="338">
        <v>3.6803426415864378E-2</v>
      </c>
      <c r="BN13" s="338">
        <v>9.0388324456993643E-2</v>
      </c>
      <c r="BO13" s="340">
        <v>3.3979166666840781</v>
      </c>
      <c r="BP13" s="339">
        <v>31.052260033124384</v>
      </c>
      <c r="BQ13" s="338"/>
      <c r="BR13" s="338"/>
      <c r="BS13" s="336"/>
      <c r="BT13" s="313">
        <v>44.809001922607393</v>
      </c>
      <c r="BU13" s="337">
        <v>2.2866267223564387</v>
      </c>
      <c r="BV13" s="336"/>
      <c r="BW13" s="336" t="s">
        <v>1054</v>
      </c>
    </row>
    <row r="14" spans="1:75" ht="17">
      <c r="A14" s="435" t="s">
        <v>313</v>
      </c>
      <c r="B14" s="435" t="s">
        <v>832</v>
      </c>
      <c r="C14" s="1448">
        <f>AVERAGE(AX$50:AX$54)</f>
        <v>127.40923261275566</v>
      </c>
      <c r="D14" s="433">
        <f>STDEV(AX$50:AX$54)</f>
        <v>14.872391202506524</v>
      </c>
      <c r="E14" s="1448">
        <v>29.744782405013048</v>
      </c>
      <c r="F14" s="1450">
        <f>AVERAGE(AX$55:AX$59)</f>
        <v>3.2909566855909413</v>
      </c>
      <c r="G14" s="433">
        <f>STDEV(AX$55:AX$59)</f>
        <v>0.95976057088490496</v>
      </c>
      <c r="H14" s="1450">
        <v>1.9195211417698099</v>
      </c>
      <c r="I14" s="1451">
        <f>AVERAGE(AX$60:AX$64)</f>
        <v>1.3721347453371207</v>
      </c>
      <c r="J14" s="406">
        <f>STDEV(AX$60:AX$64)</f>
        <v>1.2794253193053449</v>
      </c>
      <c r="K14" s="1451">
        <v>2.5588506386106897</v>
      </c>
      <c r="L14" s="1323">
        <v>92.854752819084396</v>
      </c>
      <c r="M14" s="571">
        <v>87.256753392393378</v>
      </c>
      <c r="N14" s="862">
        <v>174.51350678478676</v>
      </c>
      <c r="O14" s="435">
        <v>0.76</v>
      </c>
      <c r="P14" s="433">
        <v>-2.81</v>
      </c>
      <c r="Q14" s="778">
        <v>0.43316566400000001</v>
      </c>
      <c r="R14" s="570">
        <f t="shared" si="0"/>
        <v>0.23581611682747461</v>
      </c>
      <c r="S14" s="570">
        <v>34.567538089472698</v>
      </c>
      <c r="T14" s="570">
        <v>57.989814701751911</v>
      </c>
      <c r="U14" s="570">
        <v>9.4759902767612942</v>
      </c>
      <c r="V14" s="570">
        <v>13.946286335517918</v>
      </c>
      <c r="W14" s="885">
        <f t="shared" si="1"/>
        <v>44.043528366233993</v>
      </c>
      <c r="X14" s="873">
        <f t="shared" si="2"/>
        <v>2.1082496399237525</v>
      </c>
      <c r="Y14" s="570">
        <f t="shared" si="3"/>
        <v>1.9811481193520553</v>
      </c>
      <c r="Z14" s="570"/>
      <c r="AA14" s="570"/>
      <c r="AB14" s="885">
        <v>38.714952758449144</v>
      </c>
      <c r="AC14" s="570">
        <v>12.161495792414996</v>
      </c>
      <c r="AD14" s="573">
        <v>24.322991584829992</v>
      </c>
      <c r="AE14" s="570">
        <f>AVERAGE(AX57, AX59)/I14</f>
        <v>2.3984209253314872</v>
      </c>
      <c r="AF14" s="570"/>
      <c r="AG14" s="868">
        <v>2.3984209253314872</v>
      </c>
      <c r="AH14" s="571">
        <v>2.3432030873967733</v>
      </c>
      <c r="AI14" s="862">
        <v>4.6864061747935466</v>
      </c>
      <c r="AJ14" s="435" t="s">
        <v>832</v>
      </c>
      <c r="AL14" s="315" t="s">
        <v>1140</v>
      </c>
      <c r="AM14" s="339"/>
      <c r="AN14" s="339">
        <v>209.46773124048423</v>
      </c>
      <c r="AO14" s="338"/>
      <c r="AP14" s="453" t="s">
        <v>1139</v>
      </c>
      <c r="AQ14" s="339">
        <v>425.13612541875204</v>
      </c>
      <c r="AR14" s="342">
        <v>459</v>
      </c>
      <c r="AS14" s="453" t="s">
        <v>1138</v>
      </c>
      <c r="AT14" s="339">
        <v>409.68812759314744</v>
      </c>
      <c r="AU14" s="339"/>
      <c r="AV14" s="339"/>
      <c r="AW14" s="339">
        <v>435.33667024682188</v>
      </c>
      <c r="AX14" s="339">
        <v>396.52656369834989</v>
      </c>
      <c r="AY14" s="339">
        <v>371.37378188874703</v>
      </c>
      <c r="AZ14" s="339">
        <v>429.47196883178071</v>
      </c>
      <c r="BA14" s="339">
        <v>276.44679497986868</v>
      </c>
      <c r="BB14" s="339">
        <v>526.54741343390288</v>
      </c>
      <c r="BC14" s="339">
        <v>415.90403588569973</v>
      </c>
      <c r="BD14" s="339">
        <v>0</v>
      </c>
      <c r="BE14" s="340">
        <v>1.4727701848845807</v>
      </c>
      <c r="BF14" s="340">
        <v>3.4345934715420765</v>
      </c>
      <c r="BG14" s="338"/>
      <c r="BH14" s="340">
        <v>6.9692698394025223</v>
      </c>
      <c r="BI14" s="338"/>
      <c r="BJ14" s="338"/>
      <c r="BK14" s="339">
        <v>447.0923496438985</v>
      </c>
      <c r="BL14" s="339">
        <v>52.035249766938009</v>
      </c>
      <c r="BM14" s="338">
        <v>2.2901779502958543E-2</v>
      </c>
      <c r="BN14" s="338">
        <v>8.5098559983895303E-2</v>
      </c>
      <c r="BO14" s="340">
        <v>3.3221035525417975</v>
      </c>
      <c r="BP14" s="339">
        <v>29.252892593160134</v>
      </c>
      <c r="BQ14" s="338"/>
      <c r="BR14" s="338"/>
      <c r="BS14" s="336"/>
      <c r="BT14" s="313">
        <v>43.451002120971694</v>
      </c>
      <c r="BU14" s="337">
        <v>2.110206235600101</v>
      </c>
      <c r="BV14" s="336"/>
      <c r="BW14" s="336" t="s">
        <v>1114</v>
      </c>
    </row>
    <row r="15" spans="1:75" ht="17" thickBot="1">
      <c r="A15" s="435" t="s">
        <v>313</v>
      </c>
      <c r="B15" s="435" t="s">
        <v>453</v>
      </c>
      <c r="C15" s="406">
        <f>AVERAGE(AY$50:AY$54)</f>
        <v>234.99753731137943</v>
      </c>
      <c r="D15" s="406">
        <f>STDEV(AY$50:AY$54)</f>
        <v>126.09450816874676</v>
      </c>
      <c r="E15" s="406">
        <v>252.18901633749351</v>
      </c>
      <c r="F15" s="1450">
        <f>AVERAGE(AY$55:AY$59)</f>
        <v>13.279550576102531</v>
      </c>
      <c r="G15" s="433">
        <f>STDEV(AY$55:AY$59)</f>
        <v>1.0365579390970447</v>
      </c>
      <c r="H15" s="1450">
        <v>2.0731158781940895</v>
      </c>
      <c r="I15" s="1450">
        <f>AVERAGE(AY$60:AY$64)</f>
        <v>12.333648268069691</v>
      </c>
      <c r="J15" s="433">
        <f>STDEV(AY$60:AY$64)</f>
        <v>1.8376991401079079</v>
      </c>
      <c r="K15" s="1450">
        <v>3.6753982802158158</v>
      </c>
      <c r="L15" s="1323">
        <v>19.053367844108166</v>
      </c>
      <c r="M15" s="571">
        <v>10.610461119674557</v>
      </c>
      <c r="N15" s="862">
        <v>21.220922239349115</v>
      </c>
      <c r="O15" s="435">
        <v>0.63</v>
      </c>
      <c r="P15" s="433">
        <v>-3.23</v>
      </c>
      <c r="Q15" s="778">
        <v>0.43316566400000001</v>
      </c>
      <c r="R15" s="570">
        <f t="shared" si="0"/>
        <v>0.23581611682747461</v>
      </c>
      <c r="S15" s="570">
        <v>50.697747024899584</v>
      </c>
      <c r="T15" s="570">
        <v>91.887087032690729</v>
      </c>
      <c r="U15" s="570">
        <v>16.27963953513617</v>
      </c>
      <c r="V15" s="570">
        <v>24.909700472654976</v>
      </c>
      <c r="W15" s="885">
        <f t="shared" si="1"/>
        <v>66.977386560035754</v>
      </c>
      <c r="X15" s="873">
        <f t="shared" si="2"/>
        <v>0.28447463872048095</v>
      </c>
      <c r="Y15" s="570">
        <f t="shared" si="3"/>
        <v>0.15841855982487135</v>
      </c>
      <c r="Z15" s="570"/>
      <c r="AA15" s="570"/>
      <c r="AB15" s="868">
        <v>17.696196566642378</v>
      </c>
      <c r="AC15" s="571">
        <v>9.5953339971183116</v>
      </c>
      <c r="AD15" s="571">
        <v>19.190667994236623</v>
      </c>
      <c r="AE15" s="570"/>
      <c r="AF15" s="570"/>
      <c r="AG15" s="873">
        <v>1.0766928233620596</v>
      </c>
      <c r="AH15" s="573">
        <v>0.18110696537688342</v>
      </c>
      <c r="AI15" s="864">
        <v>0.36221393075376684</v>
      </c>
      <c r="AJ15" s="435" t="s">
        <v>453</v>
      </c>
    </row>
    <row r="16" spans="1:75" ht="17">
      <c r="A16" s="435" t="s">
        <v>313</v>
      </c>
      <c r="B16" s="435" t="s">
        <v>449</v>
      </c>
      <c r="C16" s="406">
        <f>AVERAGE(AZ$50:AZ$54)</f>
        <v>210.18000726932414</v>
      </c>
      <c r="D16" s="406">
        <f>STDEV(AZ$50:AZ$54)</f>
        <v>116.79036240685561</v>
      </c>
      <c r="E16" s="406">
        <v>233.58072481371121</v>
      </c>
      <c r="F16" s="406" t="e">
        <f>AVERAGE(AZ$55:AZ$59)</f>
        <v>#DIV/0!</v>
      </c>
      <c r="G16" s="406" t="e">
        <f>STDEV(AZ$55:AZ$59)</f>
        <v>#DIV/0!</v>
      </c>
      <c r="H16" s="406" t="e">
        <v>#DIV/0!</v>
      </c>
      <c r="I16" s="406" t="e">
        <f>AVERAGE(AZ$60:AZ$64)</f>
        <v>#DIV/0!</v>
      </c>
      <c r="J16" s="406" t="e">
        <f>STDEV(AZ$60:AZ$64)</f>
        <v>#DIV/0!</v>
      </c>
      <c r="K16" s="406" t="e">
        <v>#DIV/0!</v>
      </c>
      <c r="L16" s="1323" t="e">
        <v>#DIV/0!</v>
      </c>
      <c r="M16" s="571" t="e">
        <v>#DIV/0!</v>
      </c>
      <c r="N16" s="862" t="e">
        <v>#DIV/0!</v>
      </c>
      <c r="O16" s="435">
        <v>0.63</v>
      </c>
      <c r="P16" s="433">
        <v>-3.23</v>
      </c>
      <c r="Q16" s="778">
        <v>0.43316566400000001</v>
      </c>
      <c r="R16" s="570">
        <f t="shared" si="0"/>
        <v>0.23581611682747461</v>
      </c>
      <c r="S16" s="570">
        <v>50.697747024899584</v>
      </c>
      <c r="T16" s="570">
        <v>91.887087032690729</v>
      </c>
      <c r="U16" s="570">
        <v>16.27963953513617</v>
      </c>
      <c r="V16" s="570">
        <v>24.909700472654976</v>
      </c>
      <c r="W16" s="885">
        <f t="shared" si="1"/>
        <v>66.977386560035754</v>
      </c>
      <c r="X16" s="873" t="e">
        <f t="shared" si="2"/>
        <v>#DIV/0!</v>
      </c>
      <c r="Y16" s="570" t="e">
        <f t="shared" si="3"/>
        <v>#DIV/0!</v>
      </c>
      <c r="Z16" s="570"/>
      <c r="AA16" s="570"/>
      <c r="AB16" s="868" t="e">
        <v>#DIV/0!</v>
      </c>
      <c r="AC16" s="571" t="e">
        <v>#DIV/0!</v>
      </c>
      <c r="AD16" s="571" t="e">
        <v>#DIV/0!</v>
      </c>
      <c r="AE16" s="570"/>
      <c r="AF16" s="570"/>
      <c r="AG16" s="868" t="e">
        <v>#DIV/0!</v>
      </c>
      <c r="AH16" s="571" t="e">
        <v>#DIV/0!</v>
      </c>
      <c r="AI16" s="862" t="e">
        <v>#DIV/0!</v>
      </c>
      <c r="AJ16" s="435" t="s">
        <v>449</v>
      </c>
      <c r="AL16" s="1263" t="s">
        <v>1113</v>
      </c>
      <c r="AM16" s="1264"/>
      <c r="AN16" s="1265" t="s">
        <v>1137</v>
      </c>
      <c r="AO16" s="1264"/>
      <c r="AP16" s="1266">
        <v>590620.57271367079</v>
      </c>
      <c r="AQ16" s="1266">
        <v>1110.2205710189255</v>
      </c>
      <c r="AR16" s="1267">
        <v>456400</v>
      </c>
      <c r="AS16" s="1266">
        <v>494793.79468586412</v>
      </c>
      <c r="AT16" s="1266">
        <v>316.34517956761039</v>
      </c>
      <c r="AU16" s="1266"/>
      <c r="AV16" s="1266"/>
      <c r="AW16" s="1266">
        <v>125.00688714719614</v>
      </c>
      <c r="AX16" s="1266">
        <v>131.07867412974275</v>
      </c>
      <c r="AY16" s="1266">
        <v>279.19447589282299</v>
      </c>
      <c r="AZ16" s="1266">
        <v>277.95387639584209</v>
      </c>
      <c r="BA16" s="1266">
        <v>281.03234215310357</v>
      </c>
      <c r="BB16" s="1266">
        <v>252.94245978136843</v>
      </c>
      <c r="BC16" s="1266">
        <v>204.3648137424934</v>
      </c>
      <c r="BD16" s="1266">
        <v>311.21638843627136</v>
      </c>
      <c r="BE16" s="1266">
        <v>264.20214465620677</v>
      </c>
      <c r="BF16" s="1266">
        <v>128.21138944634944</v>
      </c>
      <c r="BG16" s="1266"/>
      <c r="BH16" s="1266">
        <v>169.50803313836082</v>
      </c>
      <c r="BI16" s="1264"/>
      <c r="BJ16" s="1264"/>
      <c r="BK16" s="1266">
        <v>119.03117610000808</v>
      </c>
      <c r="BL16" s="1266">
        <v>37.199664762084858</v>
      </c>
      <c r="BM16" s="1266">
        <v>133.5059791812445</v>
      </c>
      <c r="BN16" s="1266">
        <v>82.888836703355281</v>
      </c>
      <c r="BO16" s="1266">
        <v>193.42196809201292</v>
      </c>
      <c r="BP16" s="1266">
        <v>330.64075622593163</v>
      </c>
      <c r="BQ16" s="1264"/>
      <c r="BR16" s="1264"/>
      <c r="BS16" s="1268"/>
      <c r="BT16" s="1269">
        <v>45.488000869750998</v>
      </c>
      <c r="BU16" s="1270">
        <v>0.7948941142993462</v>
      </c>
      <c r="BV16" s="1268"/>
      <c r="BW16" s="1271" t="s">
        <v>1110</v>
      </c>
    </row>
    <row r="17" spans="1:75" ht="17">
      <c r="A17" s="435" t="s">
        <v>313</v>
      </c>
      <c r="B17" s="435" t="s">
        <v>13</v>
      </c>
      <c r="C17" s="1448">
        <f>AVERAGE(BA$50:BA$54)</f>
        <v>295.60008486137411</v>
      </c>
      <c r="D17" s="433">
        <f>STDEV(BA$50:BA$54)</f>
        <v>40.825701751701175</v>
      </c>
      <c r="E17" s="1448">
        <v>81.651403503402349</v>
      </c>
      <c r="F17" s="1451">
        <f>AVERAGE(BA$55:BA$59)</f>
        <v>0.63313828041790421</v>
      </c>
      <c r="G17" s="406">
        <f>STDEV(BA$55:BA$59)</f>
        <v>0.54787381006115587</v>
      </c>
      <c r="H17" s="1451">
        <v>1.0957476201223117</v>
      </c>
      <c r="I17" s="1448">
        <f>AVERAGE(BA$60:BA$64)</f>
        <v>48.568759682165663</v>
      </c>
      <c r="J17" s="433">
        <f>STDEV(BA$60:BA$64)</f>
        <v>6.3412289280146856</v>
      </c>
      <c r="K17" s="1448">
        <v>12.682457856029371</v>
      </c>
      <c r="L17" s="930">
        <v>6.0862185239191477</v>
      </c>
      <c r="M17" s="570">
        <v>1.156719864224736</v>
      </c>
      <c r="N17" s="879">
        <v>2.3134397284494721</v>
      </c>
      <c r="O17" s="435">
        <v>0.23</v>
      </c>
      <c r="P17" s="433">
        <v>-2</v>
      </c>
      <c r="Q17" s="778">
        <v>0.43316566400000001</v>
      </c>
      <c r="R17" s="570">
        <f t="shared" si="0"/>
        <v>0.23581611682747461</v>
      </c>
      <c r="S17" s="570">
        <v>3.4809333377060092</v>
      </c>
      <c r="T17" s="570">
        <v>5.030517048376141</v>
      </c>
      <c r="U17" s="570">
        <v>0.65506988851467263</v>
      </c>
      <c r="V17" s="570">
        <v>0.89451382215545916</v>
      </c>
      <c r="W17" s="885">
        <f t="shared" si="1"/>
        <v>4.1360032262206818</v>
      </c>
      <c r="X17" s="873">
        <f t="shared" si="2"/>
        <v>1.4715217061086523</v>
      </c>
      <c r="Y17" s="570">
        <f t="shared" si="3"/>
        <v>0.27967092890343354</v>
      </c>
      <c r="Z17" s="570"/>
      <c r="AA17" s="570"/>
      <c r="AB17" s="868">
        <v>466.88076523545959</v>
      </c>
      <c r="AC17" s="571">
        <v>409.11955778377967</v>
      </c>
      <c r="AD17" s="571">
        <v>818.23911556755934</v>
      </c>
      <c r="AE17" s="570">
        <f>AVERAGE(0.9, BA56, BA57, 0.71, 1.38)/I17</f>
        <v>1.7526807720390284E-2</v>
      </c>
      <c r="AF17" s="570"/>
      <c r="AG17" s="868">
        <v>1.3035916184830866E-2</v>
      </c>
      <c r="AH17" s="571">
        <v>1.1408051425436883E-2</v>
      </c>
      <c r="AI17" s="862">
        <v>2.2816102850873765E-2</v>
      </c>
      <c r="AJ17" s="435" t="s">
        <v>13</v>
      </c>
      <c r="AL17" s="1272" t="s">
        <v>1109</v>
      </c>
      <c r="AM17" s="960"/>
      <c r="AN17" s="961" t="s">
        <v>759</v>
      </c>
      <c r="AO17" s="962"/>
      <c r="AP17" s="960">
        <v>572212.98530508566</v>
      </c>
      <c r="AQ17" s="960">
        <v>1021.7433578649809</v>
      </c>
      <c r="AR17" s="963">
        <v>456400</v>
      </c>
      <c r="AS17" s="960">
        <v>474752.30198100233</v>
      </c>
      <c r="AT17" s="960">
        <v>286.1179780130916</v>
      </c>
      <c r="AU17" s="960"/>
      <c r="AV17" s="960"/>
      <c r="AW17" s="960">
        <v>113.47892460478108</v>
      </c>
      <c r="AX17" s="960">
        <v>113.03183429850561</v>
      </c>
      <c r="AY17" s="960">
        <v>126.10475502335804</v>
      </c>
      <c r="AZ17" s="960">
        <v>130.17558151717387</v>
      </c>
      <c r="BA17" s="960">
        <v>235.09713668734557</v>
      </c>
      <c r="BB17" s="960">
        <v>254.92645815282174</v>
      </c>
      <c r="BC17" s="960">
        <v>200.43678240894039</v>
      </c>
      <c r="BD17" s="960">
        <v>138.48425383066765</v>
      </c>
      <c r="BE17" s="960">
        <v>173.93034280570933</v>
      </c>
      <c r="BF17" s="960">
        <v>128.08487617422935</v>
      </c>
      <c r="BG17" s="960"/>
      <c r="BH17" s="960">
        <v>168.42552799580753</v>
      </c>
      <c r="BI17" s="965"/>
      <c r="BJ17" s="965"/>
      <c r="BK17" s="960">
        <v>109.43351137296706</v>
      </c>
      <c r="BL17" s="970">
        <v>2.4509527682769914</v>
      </c>
      <c r="BM17" s="960">
        <v>21.579985866683074</v>
      </c>
      <c r="BN17" s="960">
        <v>18.661459168655568</v>
      </c>
      <c r="BO17" s="960">
        <v>69.917409155038698</v>
      </c>
      <c r="BP17" s="960">
        <v>295.18965735514087</v>
      </c>
      <c r="BQ17" s="965"/>
      <c r="BR17" s="965"/>
      <c r="BS17" s="966"/>
      <c r="BT17" s="967">
        <v>45.488000869750998</v>
      </c>
      <c r="BU17" s="968">
        <v>0.77693715641386563</v>
      </c>
      <c r="BV17" s="966"/>
      <c r="BW17" s="1273" t="s">
        <v>1106</v>
      </c>
    </row>
    <row r="18" spans="1:75" ht="17">
      <c r="A18" s="435" t="s">
        <v>313</v>
      </c>
      <c r="B18" s="435" t="s">
        <v>443</v>
      </c>
      <c r="C18" s="1448">
        <f>AVERAGE(BB$50:BB$54)</f>
        <v>213.55391045119762</v>
      </c>
      <c r="D18" s="433">
        <f>STDEV(BB$50:BB$54)</f>
        <v>5.2165840790209437</v>
      </c>
      <c r="E18" s="1448">
        <v>10.433168158041887</v>
      </c>
      <c r="F18" s="1448">
        <f>AVERAGE(BB$55:BB$59)</f>
        <v>305.26607361543415</v>
      </c>
      <c r="G18" s="433">
        <f>STDEV(BB$55:BB$59)</f>
        <v>27.969484252821516</v>
      </c>
      <c r="H18" s="1448">
        <v>55.938968505643032</v>
      </c>
      <c r="I18" s="1448">
        <f>AVERAGE(BB$60:BB$64)</f>
        <v>146.7658623223943</v>
      </c>
      <c r="J18" s="433">
        <f>STDEV(BB$60:BB$64)</f>
        <v>22.029317456832519</v>
      </c>
      <c r="K18" s="1448">
        <v>44.058634913665038</v>
      </c>
      <c r="L18" s="930">
        <v>1.4550652792956231</v>
      </c>
      <c r="M18" s="570">
        <v>0.22127626999409983</v>
      </c>
      <c r="N18" s="879">
        <v>0.44255253998819966</v>
      </c>
      <c r="O18" s="435">
        <v>0.67</v>
      </c>
      <c r="P18" s="433">
        <v>-1.33</v>
      </c>
      <c r="Q18" s="778">
        <v>0.43316566400000001</v>
      </c>
      <c r="R18" s="570">
        <f t="shared" si="0"/>
        <v>0.23581611682747461</v>
      </c>
      <c r="S18" s="570">
        <v>4.0808763551205276</v>
      </c>
      <c r="T18" s="570">
        <v>5.2131255874659477</v>
      </c>
      <c r="U18" s="570">
        <v>0.49581968168838131</v>
      </c>
      <c r="V18" s="570">
        <v>0.63642955065703877</v>
      </c>
      <c r="W18" s="885">
        <f t="shared" si="1"/>
        <v>4.5766960368089089</v>
      </c>
      <c r="X18" s="885">
        <f t="shared" si="2"/>
        <v>0.31792919337290404</v>
      </c>
      <c r="Y18" s="570">
        <f t="shared" si="3"/>
        <v>4.8348474142579111E-2</v>
      </c>
      <c r="Z18" s="570"/>
      <c r="AA18" s="570"/>
      <c r="AB18" s="885">
        <v>0.69956647301798425</v>
      </c>
      <c r="AC18" s="570">
        <v>6.6335467986643873E-2</v>
      </c>
      <c r="AD18" s="573">
        <v>0.13267093597328775</v>
      </c>
      <c r="AE18" s="570"/>
      <c r="AF18" s="570"/>
      <c r="AG18" s="873">
        <v>2.0799528499677207</v>
      </c>
      <c r="AH18" s="573">
        <v>0.36576638160969482</v>
      </c>
      <c r="AI18" s="864">
        <v>0.73153276321938965</v>
      </c>
      <c r="AJ18" s="435" t="s">
        <v>443</v>
      </c>
      <c r="AL18" s="1272" t="s">
        <v>1105</v>
      </c>
      <c r="AM18" s="960"/>
      <c r="AN18" s="961" t="s">
        <v>1136</v>
      </c>
      <c r="AO18" s="962"/>
      <c r="AP18" s="960">
        <v>623513.86069745012</v>
      </c>
      <c r="AQ18" s="960">
        <v>1006.7283518889933</v>
      </c>
      <c r="AR18" s="963">
        <v>456400</v>
      </c>
      <c r="AS18" s="960">
        <v>449504.00713068678</v>
      </c>
      <c r="AT18" s="960">
        <v>267.75231655182483</v>
      </c>
      <c r="AU18" s="960"/>
      <c r="AV18" s="965"/>
      <c r="AW18" s="960">
        <v>117.29868747360057</v>
      </c>
      <c r="AX18" s="960">
        <v>109.93781474588984</v>
      </c>
      <c r="AY18" s="960">
        <v>184.63368279157086</v>
      </c>
      <c r="AZ18" s="960">
        <v>177.51104831434392</v>
      </c>
      <c r="BA18" s="960">
        <v>263.20979980070206</v>
      </c>
      <c r="BB18" s="960">
        <v>243.22002708801818</v>
      </c>
      <c r="BC18" s="960">
        <v>200.16671634894354</v>
      </c>
      <c r="BD18" s="960">
        <v>237.84865620450699</v>
      </c>
      <c r="BE18" s="960">
        <v>236.24682845283186</v>
      </c>
      <c r="BF18" s="960">
        <v>118.35116487664324</v>
      </c>
      <c r="BG18" s="960"/>
      <c r="BH18" s="960">
        <v>164.06017819185564</v>
      </c>
      <c r="BI18" s="965"/>
      <c r="BJ18" s="965"/>
      <c r="BK18" s="960">
        <v>119.98019958345937</v>
      </c>
      <c r="BL18" s="960">
        <v>36.981282379868681</v>
      </c>
      <c r="BM18" s="960">
        <v>54.558289112994082</v>
      </c>
      <c r="BN18" s="960">
        <v>72.964024239600789</v>
      </c>
      <c r="BO18" s="960">
        <v>114.47771506862854</v>
      </c>
      <c r="BP18" s="960">
        <v>308.370821115247</v>
      </c>
      <c r="BQ18" s="965"/>
      <c r="BR18" s="965"/>
      <c r="BS18" s="966"/>
      <c r="BT18" s="967">
        <v>42.771999359130895</v>
      </c>
      <c r="BU18" s="968">
        <v>0.77061646209631995</v>
      </c>
      <c r="BV18" s="966"/>
      <c r="BW18" s="1273" t="s">
        <v>1102</v>
      </c>
    </row>
    <row r="19" spans="1:75" ht="17">
      <c r="A19" s="435" t="s">
        <v>313</v>
      </c>
      <c r="B19" s="435" t="s">
        <v>831</v>
      </c>
      <c r="C19" s="433">
        <f>AVERAGE(BC$50:BC$54)</f>
        <v>208.78983483693997</v>
      </c>
      <c r="D19" s="433">
        <f>STDEV(BC$50:BC$54)</f>
        <v>5.2339342646911726</v>
      </c>
      <c r="E19" s="433">
        <v>10.467868529382345</v>
      </c>
      <c r="F19" s="433">
        <f>AVERAGE(BC$55:BC$59)</f>
        <v>293.33939171990801</v>
      </c>
      <c r="G19" s="433">
        <f>STDEV(BC$55:BC$59)</f>
        <v>28.178073262820813</v>
      </c>
      <c r="H19" s="433">
        <v>56.356146525641627</v>
      </c>
      <c r="I19" s="433">
        <f>AVERAGE(BC$60:BC$64)</f>
        <v>141.57546979454253</v>
      </c>
      <c r="J19" s="433">
        <f>STDEV(BC$60:BC$64)</f>
        <v>24.443601652071685</v>
      </c>
      <c r="K19" s="433">
        <v>48.88720330414337</v>
      </c>
      <c r="L19" s="930">
        <v>1.474759964702504</v>
      </c>
      <c r="M19" s="570">
        <v>0.25729333893899203</v>
      </c>
      <c r="N19" s="879">
        <v>0.51458667787798407</v>
      </c>
      <c r="O19" s="435">
        <v>0.67</v>
      </c>
      <c r="P19" s="433">
        <v>-1.33</v>
      </c>
      <c r="Q19" s="778">
        <v>0.43316566400000001</v>
      </c>
      <c r="R19" s="570">
        <f t="shared" si="0"/>
        <v>0.23581611682747461</v>
      </c>
      <c r="S19" s="570">
        <v>4.0808763551205276</v>
      </c>
      <c r="T19" s="570">
        <v>5.2131255874659477</v>
      </c>
      <c r="U19" s="570">
        <v>0.49581968168838131</v>
      </c>
      <c r="V19" s="570">
        <v>0.63642955065703877</v>
      </c>
      <c r="W19" s="885">
        <f t="shared" si="1"/>
        <v>4.5766960368089089</v>
      </c>
      <c r="X19" s="885">
        <f t="shared" si="2"/>
        <v>0.32223244734661843</v>
      </c>
      <c r="Y19" s="570">
        <f t="shared" si="3"/>
        <v>5.6218140088322148E-2</v>
      </c>
      <c r="Z19" s="570"/>
      <c r="AA19" s="570"/>
      <c r="AB19" s="885">
        <v>0.71176882727124735</v>
      </c>
      <c r="AC19" s="570">
        <v>7.0662030324736905E-2</v>
      </c>
      <c r="AD19" s="573">
        <v>0.14132406064947381</v>
      </c>
      <c r="AE19" s="570"/>
      <c r="AF19" s="570"/>
      <c r="AG19" s="873">
        <v>2.0719648124467374</v>
      </c>
      <c r="AH19" s="573">
        <v>0.40937395272225946</v>
      </c>
      <c r="AI19" s="864">
        <v>0.81874790544451892</v>
      </c>
      <c r="AJ19" s="435" t="s">
        <v>831</v>
      </c>
      <c r="AL19" s="1272" t="s">
        <v>1101</v>
      </c>
      <c r="AM19" s="960"/>
      <c r="AN19" s="961" t="s">
        <v>1135</v>
      </c>
      <c r="AO19" s="962"/>
      <c r="AP19" s="960">
        <v>559687.23051543662</v>
      </c>
      <c r="AQ19" s="960">
        <v>1065.7704476220592</v>
      </c>
      <c r="AR19" s="963">
        <v>456400</v>
      </c>
      <c r="AS19" s="960">
        <v>480510.6094255427</v>
      </c>
      <c r="AT19" s="960">
        <v>279.15552758593327</v>
      </c>
      <c r="AU19" s="960"/>
      <c r="AV19" s="965"/>
      <c r="AW19" s="960">
        <v>101.71237608314675</v>
      </c>
      <c r="AX19" s="960">
        <v>104.94300613624736</v>
      </c>
      <c r="AY19" s="960">
        <v>52.71173611323205</v>
      </c>
      <c r="AZ19" s="960">
        <v>49.808621269407062</v>
      </c>
      <c r="BA19" s="960">
        <v>213.66700660001021</v>
      </c>
      <c r="BB19" s="960">
        <v>256.85143213931264</v>
      </c>
      <c r="BC19" s="960">
        <v>213.11433296710894</v>
      </c>
      <c r="BD19" s="960">
        <v>83.949884533903131</v>
      </c>
      <c r="BE19" s="960">
        <v>85.229736957798238</v>
      </c>
      <c r="BF19" s="960">
        <v>110.82107463609687</v>
      </c>
      <c r="BG19" s="960"/>
      <c r="BH19" s="960">
        <v>146.9280710499396</v>
      </c>
      <c r="BI19" s="965"/>
      <c r="BJ19" s="965"/>
      <c r="BK19" s="960">
        <v>83.295914579874903</v>
      </c>
      <c r="BL19" s="970">
        <v>1.2353262851262539</v>
      </c>
      <c r="BM19" s="960">
        <v>28.601549134132203</v>
      </c>
      <c r="BN19" s="960">
        <v>2177.8316099809904</v>
      </c>
      <c r="BO19" s="960">
        <v>59.007484474251946</v>
      </c>
      <c r="BP19" s="960">
        <v>213.98283630367399</v>
      </c>
      <c r="BQ19" s="965"/>
      <c r="BR19" s="965"/>
      <c r="BS19" s="966"/>
      <c r="BT19" s="967">
        <v>44.809001922607393</v>
      </c>
      <c r="BU19" s="968">
        <v>0.76887617530243646</v>
      </c>
      <c r="BV19" s="966"/>
      <c r="BW19" s="1273" t="s">
        <v>1098</v>
      </c>
    </row>
    <row r="20" spans="1:75" ht="18" customHeight="1">
      <c r="A20" s="407" t="s">
        <v>270</v>
      </c>
      <c r="B20" s="407" t="s">
        <v>440</v>
      </c>
      <c r="C20" s="406">
        <f>AVERAGE(BD$16:BD$20)</f>
        <v>179.9337978213469</v>
      </c>
      <c r="D20" s="406">
        <f>STDEV(BD$16:BD$20)</f>
        <v>92.465853921729362</v>
      </c>
      <c r="E20" s="406">
        <v>184.93170784345872</v>
      </c>
      <c r="F20" s="406">
        <f>AVERAGE(BD$21:BD$25)</f>
        <v>0.44746437199307304</v>
      </c>
      <c r="G20" s="406">
        <f>STDEV(BD$21:BD$25)</f>
        <v>0.34104760153371616</v>
      </c>
      <c r="H20" s="406">
        <v>0.68209520306743232</v>
      </c>
      <c r="I20" s="406">
        <f>AVERAGE(BD$26:BD$30)</f>
        <v>2.1261004534690686</v>
      </c>
      <c r="J20" s="406">
        <f>STDEV(BE$26:BE$30)</f>
        <v>1.7956893374929437</v>
      </c>
      <c r="K20" s="406">
        <v>3.5913786749858874</v>
      </c>
      <c r="L20" s="1323">
        <v>84.630901389328287</v>
      </c>
      <c r="M20" s="571">
        <v>83.669887363081457</v>
      </c>
      <c r="N20" s="862">
        <v>167.33977472616291</v>
      </c>
      <c r="O20" s="407">
        <v>1.18</v>
      </c>
      <c r="P20" s="404">
        <v>-3.89</v>
      </c>
      <c r="Q20" s="779">
        <v>0.43316566400000001</v>
      </c>
      <c r="R20" s="749">
        <f t="shared" si="0"/>
        <v>0.23581611682747461</v>
      </c>
      <c r="S20" s="749">
        <v>232.76598477433367</v>
      </c>
      <c r="T20" s="749">
        <v>476.38482871574939</v>
      </c>
      <c r="U20" s="749">
        <v>92.749127768445419</v>
      </c>
      <c r="V20" s="749">
        <v>150.8697161729703</v>
      </c>
      <c r="W20" s="869">
        <f t="shared" si="1"/>
        <v>325.51511254277909</v>
      </c>
      <c r="X20" s="869">
        <f t="shared" si="2"/>
        <v>0.25999069821437593</v>
      </c>
      <c r="Y20" s="749">
        <f t="shared" si="3"/>
        <v>0.25703841124146148</v>
      </c>
      <c r="Z20" s="749"/>
      <c r="AA20" s="749"/>
      <c r="AB20" s="868">
        <v>402.11871398809905</v>
      </c>
      <c r="AC20" s="571">
        <v>369.64241345666585</v>
      </c>
      <c r="AD20" s="571">
        <v>739.2848269133317</v>
      </c>
      <c r="AE20" s="749"/>
      <c r="AF20" s="749"/>
      <c r="AG20" s="868">
        <v>0.21046247897786968</v>
      </c>
      <c r="AH20" s="571">
        <v>0.23943312809316225</v>
      </c>
      <c r="AI20" s="862">
        <v>0.4788662561863245</v>
      </c>
      <c r="AJ20" s="407" t="s">
        <v>440</v>
      </c>
      <c r="AL20" s="1272" t="s">
        <v>1097</v>
      </c>
      <c r="AM20" s="960"/>
      <c r="AN20" s="1274" t="s">
        <v>1134</v>
      </c>
      <c r="AO20" s="960"/>
      <c r="AP20" s="960">
        <v>693723.17010061326</v>
      </c>
      <c r="AQ20" s="960">
        <v>970.95156443737358</v>
      </c>
      <c r="AR20" s="963">
        <v>456400</v>
      </c>
      <c r="AS20" s="960">
        <v>482118.37170102471</v>
      </c>
      <c r="AT20" s="960">
        <v>575.53453994194285</v>
      </c>
      <c r="AU20" s="960"/>
      <c r="AV20" s="965"/>
      <c r="AW20" s="960">
        <v>95.964071139127896</v>
      </c>
      <c r="AX20" s="960">
        <v>94.567109731952584</v>
      </c>
      <c r="AY20" s="960">
        <v>283.13674442060102</v>
      </c>
      <c r="AZ20" s="960">
        <v>299.69664902813349</v>
      </c>
      <c r="BA20" s="960">
        <v>200.99494625930393</v>
      </c>
      <c r="BB20" s="960">
        <v>255.82691891082118</v>
      </c>
      <c r="BC20" s="960">
        <v>209.7120671386923</v>
      </c>
      <c r="BD20" s="960">
        <v>128.16980610138535</v>
      </c>
      <c r="BE20" s="960">
        <v>159.81832339337024</v>
      </c>
      <c r="BF20" s="960">
        <v>119.35257842264586</v>
      </c>
      <c r="BG20" s="960"/>
      <c r="BH20" s="960">
        <v>162.3732719947794</v>
      </c>
      <c r="BI20" s="965"/>
      <c r="BJ20" s="965"/>
      <c r="BK20" s="960">
        <v>77.37209761987161</v>
      </c>
      <c r="BL20" s="970">
        <v>5.1804518028416151</v>
      </c>
      <c r="BM20" s="960">
        <v>41.577224912795863</v>
      </c>
      <c r="BN20" s="970">
        <v>7.6335769674830631</v>
      </c>
      <c r="BO20" s="960">
        <v>92.23248860089771</v>
      </c>
      <c r="BP20" s="960">
        <v>225.77231388148957</v>
      </c>
      <c r="BQ20" s="965"/>
      <c r="BR20" s="965"/>
      <c r="BS20" s="966"/>
      <c r="BT20" s="967">
        <v>46.1670017242432</v>
      </c>
      <c r="BU20" s="968">
        <v>0.79637097078490116</v>
      </c>
      <c r="BV20" s="966"/>
      <c r="BW20" s="1273" t="s">
        <v>1096</v>
      </c>
    </row>
    <row r="21" spans="1:75" ht="17">
      <c r="A21" s="407" t="s">
        <v>270</v>
      </c>
      <c r="B21" s="407" t="s">
        <v>16</v>
      </c>
      <c r="C21" s="1447">
        <f>AVERAGE(BE$16:BE$20)</f>
        <v>183.88547525318327</v>
      </c>
      <c r="D21" s="404">
        <f>STDEV(BE$16:BE$20)</f>
        <v>70.006724413070657</v>
      </c>
      <c r="E21" s="1447">
        <v>140.01344882614131</v>
      </c>
      <c r="F21" s="808">
        <f>AVERAGE(BE$21:BE$25)</f>
        <v>9.5837203768422669E-2</v>
      </c>
      <c r="G21" s="808">
        <f>STDEV(BE$21:BE$25)</f>
        <v>5.6388379054003492E-2</v>
      </c>
      <c r="H21" s="808">
        <v>0.11277675810800698</v>
      </c>
      <c r="I21" s="406">
        <f>AVERAGE(BE$26:BE$30)</f>
        <v>2.2256230608096543</v>
      </c>
      <c r="J21" s="406">
        <f>STDEV(BE$26:BE$30)</f>
        <v>1.7956893374929437</v>
      </c>
      <c r="K21" s="406">
        <v>3.5913786749858874</v>
      </c>
      <c r="L21" s="1323">
        <v>82.622020993208082</v>
      </c>
      <c r="M21" s="571">
        <v>73.710054861022627</v>
      </c>
      <c r="N21" s="862">
        <v>147.42010972204525</v>
      </c>
      <c r="O21" s="407">
        <v>0.97</v>
      </c>
      <c r="P21" s="404">
        <v>-2.66</v>
      </c>
      <c r="Q21" s="779">
        <v>0.43316566400000001</v>
      </c>
      <c r="R21" s="749">
        <f t="shared" si="0"/>
        <v>0.23581611682747461</v>
      </c>
      <c r="S21" s="749">
        <v>35.98562100915202</v>
      </c>
      <c r="T21" s="749">
        <v>58.724388592050389</v>
      </c>
      <c r="U21" s="749">
        <v>9.2756002315298645</v>
      </c>
      <c r="V21" s="749">
        <v>13.463167351368504</v>
      </c>
      <c r="W21" s="869">
        <f t="shared" si="1"/>
        <v>45.261221240681884</v>
      </c>
      <c r="X21" s="869">
        <f t="shared" si="2"/>
        <v>1.825448335869148</v>
      </c>
      <c r="Y21" s="749">
        <f t="shared" si="3"/>
        <v>1.6285476361554787</v>
      </c>
      <c r="Z21" s="749"/>
      <c r="AA21" s="749"/>
      <c r="AB21" s="868">
        <v>1918.7274672320059</v>
      </c>
      <c r="AC21" s="571">
        <v>1344.6514893306505</v>
      </c>
      <c r="AD21" s="571">
        <v>2689.302978661301</v>
      </c>
      <c r="AE21" s="749"/>
      <c r="AF21" s="749"/>
      <c r="AG21" s="868">
        <v>4.3060842357356896E-2</v>
      </c>
      <c r="AH21" s="571">
        <v>4.2999533291679326E-2</v>
      </c>
      <c r="AI21" s="862">
        <v>8.5999066583358652E-2</v>
      </c>
      <c r="AJ21" s="407" t="s">
        <v>16</v>
      </c>
      <c r="AL21" s="1156" t="s">
        <v>1095</v>
      </c>
      <c r="AM21" s="1157"/>
      <c r="AN21" s="1159">
        <v>5.7925448842728704</v>
      </c>
      <c r="AO21" s="1157"/>
      <c r="AP21" s="1157">
        <v>769401.6898649229</v>
      </c>
      <c r="AQ21" s="1157">
        <v>132.07929763908734</v>
      </c>
      <c r="AR21" s="1158">
        <v>23000</v>
      </c>
      <c r="AS21" s="1157">
        <v>24181.907578630766</v>
      </c>
      <c r="AT21" s="1157">
        <v>248.16152178419725</v>
      </c>
      <c r="AU21" s="1157"/>
      <c r="AV21" s="1159"/>
      <c r="AW21" s="1162">
        <v>1.7773479072762013E-2</v>
      </c>
      <c r="AX21" s="1160" t="s">
        <v>54</v>
      </c>
      <c r="AY21" s="1157">
        <v>10.335191132102862</v>
      </c>
      <c r="AZ21" s="1160" t="s">
        <v>925</v>
      </c>
      <c r="BA21" s="1161" t="s">
        <v>137</v>
      </c>
      <c r="BB21" s="1157">
        <v>358.07345908463179</v>
      </c>
      <c r="BC21" s="1157">
        <v>294.73472868205857</v>
      </c>
      <c r="BD21" s="1162">
        <v>0.33425551423477518</v>
      </c>
      <c r="BE21" s="1162">
        <v>6.0733253770860481E-2</v>
      </c>
      <c r="BF21" s="1162">
        <v>0.10558634242217638</v>
      </c>
      <c r="BG21" s="1162"/>
      <c r="BH21" s="1162">
        <v>0.11934057487713987</v>
      </c>
      <c r="BI21" s="1162"/>
      <c r="BJ21" s="1162"/>
      <c r="BK21" s="1162">
        <v>0.55708570722542983</v>
      </c>
      <c r="BL21" s="1157"/>
      <c r="BM21" s="1157"/>
      <c r="BN21" s="1160" t="s">
        <v>124</v>
      </c>
      <c r="BO21" s="1160" t="s">
        <v>59</v>
      </c>
      <c r="BP21" s="1162">
        <v>0.33047317126389408</v>
      </c>
      <c r="BQ21" s="1162"/>
      <c r="BR21" s="1162"/>
      <c r="BS21" s="1163"/>
      <c r="BT21" s="1164">
        <v>44.130001068115298</v>
      </c>
      <c r="BU21" s="1165">
        <v>3.01608552007955</v>
      </c>
      <c r="BV21" s="1163"/>
      <c r="BW21" s="1166" t="s">
        <v>1093</v>
      </c>
    </row>
    <row r="22" spans="1:75" ht="17">
      <c r="A22" s="407" t="s">
        <v>270</v>
      </c>
      <c r="B22" s="407" t="s">
        <v>435</v>
      </c>
      <c r="C22" s="1447">
        <f>AVERAGE(BF$16:BF$20)</f>
        <v>120.96421671119295</v>
      </c>
      <c r="D22" s="404">
        <f>STDEV(BF$16:BF$20)</f>
        <v>7.340539027558953</v>
      </c>
      <c r="E22" s="1447">
        <v>14.681078055117906</v>
      </c>
      <c r="F22" s="404">
        <f>AVERAGE(BF$21:BF$25)</f>
        <v>0.12289954442376266</v>
      </c>
      <c r="G22" s="404">
        <f>STDEV(BF$21:BF$25)</f>
        <v>1.7297024442859313E-2</v>
      </c>
      <c r="H22" s="404">
        <v>3.4594048885718626E-2</v>
      </c>
      <c r="I22" s="1447">
        <f>AVERAGE(BF$26:BF$30)</f>
        <v>47.624003053268183</v>
      </c>
      <c r="J22" s="404">
        <f>STDEV(BF$26:BF$30)</f>
        <v>10.090189131633844</v>
      </c>
      <c r="K22" s="1447">
        <v>20.180378263267688</v>
      </c>
      <c r="L22" s="1324">
        <v>2.5399842297148481</v>
      </c>
      <c r="M22" s="749">
        <v>0.55978974080753052</v>
      </c>
      <c r="N22" s="861">
        <v>1.119579481615061</v>
      </c>
      <c r="O22" s="407">
        <v>0.54</v>
      </c>
      <c r="P22" s="404">
        <v>-0.70699999999999996</v>
      </c>
      <c r="Q22" s="779">
        <v>0.43316566400000001</v>
      </c>
      <c r="R22" s="749">
        <f t="shared" si="0"/>
        <v>0.23581611682747461</v>
      </c>
      <c r="S22" s="749">
        <v>1.4109525278962094</v>
      </c>
      <c r="T22" s="749">
        <v>1.6071004873234713</v>
      </c>
      <c r="U22" s="749">
        <v>8.8678118027607278E-2</v>
      </c>
      <c r="V22" s="749">
        <v>0.10746984139965465</v>
      </c>
      <c r="W22" s="869">
        <f t="shared" si="1"/>
        <v>1.4996306459238167</v>
      </c>
      <c r="X22" s="869">
        <f t="shared" si="2"/>
        <v>1.6937398796289223</v>
      </c>
      <c r="Y22" s="749">
        <f t="shared" si="3"/>
        <v>0.37328507678147876</v>
      </c>
      <c r="Z22" s="749"/>
      <c r="AA22" s="749"/>
      <c r="AB22" s="869">
        <v>984.25276739922947</v>
      </c>
      <c r="AC22" s="749">
        <v>150.85281066633033</v>
      </c>
      <c r="AD22" s="749">
        <v>301.70562133266066</v>
      </c>
      <c r="AE22" s="749"/>
      <c r="AF22" s="749"/>
      <c r="AG22" s="1502">
        <v>2.5806218827572648E-3</v>
      </c>
      <c r="AH22" s="1503">
        <v>6.5640077542261839E-4</v>
      </c>
      <c r="AI22" s="1504">
        <v>1.3128015508452368E-3</v>
      </c>
      <c r="AJ22" s="407" t="s">
        <v>435</v>
      </c>
      <c r="AL22" s="1167" t="s">
        <v>1092</v>
      </c>
      <c r="AM22" s="1169"/>
      <c r="AN22" s="1171">
        <v>5.8552028989976801</v>
      </c>
      <c r="AO22" s="1168"/>
      <c r="AP22" s="1169">
        <v>730463.14439103461</v>
      </c>
      <c r="AQ22" s="1169">
        <v>132.17211976784662</v>
      </c>
      <c r="AR22" s="1170">
        <v>23000</v>
      </c>
      <c r="AS22" s="1169">
        <v>22743.35117787942</v>
      </c>
      <c r="AT22" s="1169">
        <v>223.31600177978362</v>
      </c>
      <c r="AU22" s="1169"/>
      <c r="AV22" s="1171"/>
      <c r="AW22" s="1172" t="s">
        <v>41</v>
      </c>
      <c r="AX22" s="1172" t="s">
        <v>185</v>
      </c>
      <c r="AY22" s="1171">
        <v>9.917931014406598</v>
      </c>
      <c r="AZ22" s="1172" t="s">
        <v>187</v>
      </c>
      <c r="BA22" s="1168">
        <v>0.19753752704013153</v>
      </c>
      <c r="BB22" s="1169">
        <v>340.06895085327125</v>
      </c>
      <c r="BC22" s="1169">
        <v>283.87570267552786</v>
      </c>
      <c r="BD22" s="1168">
        <v>0.31750880920271568</v>
      </c>
      <c r="BE22" s="1168">
        <v>7.6483008568238725E-2</v>
      </c>
      <c r="BF22" s="1168">
        <v>0.12652523629778767</v>
      </c>
      <c r="BG22" s="1168"/>
      <c r="BH22" s="1168">
        <v>0.12476451802789806</v>
      </c>
      <c r="BI22" s="1168"/>
      <c r="BJ22" s="1168"/>
      <c r="BK22" s="1168">
        <v>0.51943733881669496</v>
      </c>
      <c r="BL22" s="1169"/>
      <c r="BM22" s="1172" t="s">
        <v>180</v>
      </c>
      <c r="BN22" s="1172" t="s">
        <v>239</v>
      </c>
      <c r="BO22" s="1169"/>
      <c r="BP22" s="1168">
        <v>0.35691775026980177</v>
      </c>
      <c r="BQ22" s="1168"/>
      <c r="BR22" s="1168"/>
      <c r="BS22" s="1175"/>
      <c r="BT22" s="1176">
        <v>46.166000366210994</v>
      </c>
      <c r="BU22" s="1177">
        <v>3.2134591837046793</v>
      </c>
      <c r="BV22" s="1175"/>
      <c r="BW22" s="1178" t="s">
        <v>1091</v>
      </c>
    </row>
    <row r="23" spans="1:75" ht="17">
      <c r="A23" s="435" t="s">
        <v>313</v>
      </c>
      <c r="B23" s="435" t="s">
        <v>18</v>
      </c>
      <c r="C23" s="406">
        <f>AVERAGE(BG$50:BG$54)</f>
        <v>13.073697496418507</v>
      </c>
      <c r="D23" s="406">
        <f>STDEV(BG$50:BG$54)</f>
        <v>28.031633362562161</v>
      </c>
      <c r="E23" s="406">
        <v>56.063266725124322</v>
      </c>
      <c r="F23" s="1450">
        <f>AVERAGE(BG$55:BG$59)</f>
        <v>2.7236286317675757</v>
      </c>
      <c r="G23" s="433">
        <f>STDEV(BG$55:BG$59)</f>
        <v>0.44493904772034415</v>
      </c>
      <c r="H23" s="1450">
        <v>0.8898780954406883</v>
      </c>
      <c r="I23" s="1448">
        <f>AVERAGE(BG$60:BG$64)</f>
        <v>320.01305365887185</v>
      </c>
      <c r="J23" s="433">
        <f>STDEV(BG$60:BG$64)</f>
        <v>90.276036985525465</v>
      </c>
      <c r="K23" s="1448">
        <v>180.55207397105093</v>
      </c>
      <c r="L23" s="1323">
        <v>4.0853638146757701E-2</v>
      </c>
      <c r="M23" s="571">
        <v>8.8350187179990394E-2</v>
      </c>
      <c r="N23" s="862">
        <v>0.17670037435998079</v>
      </c>
      <c r="O23" s="435">
        <v>0.15</v>
      </c>
      <c r="P23" s="433">
        <v>2.88</v>
      </c>
      <c r="Q23" s="778">
        <v>0.43316566400000001</v>
      </c>
      <c r="R23" s="570">
        <f t="shared" si="0"/>
        <v>0.23581611682747461</v>
      </c>
      <c r="S23" s="1373">
        <f>O23*(((1-(2*C47))/(1-C47))^P23)</f>
        <v>1.7646442392362264E-3</v>
      </c>
      <c r="T23" s="800">
        <f>O23*(((1-(2*C46))/(1-C46))^P23)</f>
        <v>2.9987311141200226E-3</v>
      </c>
      <c r="U23" s="800">
        <v>5.7474717553604839E-4</v>
      </c>
      <c r="V23" s="800">
        <v>6.5933969934774779E-4</v>
      </c>
      <c r="W23" s="1369">
        <f t="shared" si="1"/>
        <v>2.3393914147722748E-3</v>
      </c>
      <c r="X23" s="873">
        <f t="shared" si="2"/>
        <v>17.463361577196583</v>
      </c>
      <c r="Y23" s="570">
        <f t="shared" si="3"/>
        <v>37.766312478577142</v>
      </c>
      <c r="Z23" s="570"/>
      <c r="AA23" s="570"/>
      <c r="AB23" s="868">
        <v>4.8001028275040429</v>
      </c>
      <c r="AC23" s="571">
        <v>10.321846999659087</v>
      </c>
      <c r="AD23" s="571">
        <v>20.643693999318174</v>
      </c>
      <c r="AE23" s="570"/>
      <c r="AF23" s="570"/>
      <c r="AG23" s="1493">
        <v>8.5109922880549586E-3</v>
      </c>
      <c r="AH23" s="880">
        <v>2.7744839280652404E-3</v>
      </c>
      <c r="AI23" s="881">
        <v>5.5489678561304809E-3</v>
      </c>
      <c r="AJ23" s="435" t="s">
        <v>18</v>
      </c>
      <c r="AL23" s="1167" t="s">
        <v>1090</v>
      </c>
      <c r="AM23" s="1169"/>
      <c r="AN23" s="1169">
        <v>29.350306224850748</v>
      </c>
      <c r="AO23" s="1168"/>
      <c r="AP23" s="1169">
        <v>706432.97555726976</v>
      </c>
      <c r="AQ23" s="1169">
        <v>126.58123111522384</v>
      </c>
      <c r="AR23" s="1170">
        <v>23000</v>
      </c>
      <c r="AS23" s="1169">
        <v>22143.480193323081</v>
      </c>
      <c r="AT23" s="1169">
        <v>238.73091536580122</v>
      </c>
      <c r="AU23" s="1169"/>
      <c r="AV23" s="1171"/>
      <c r="AW23" s="1171">
        <v>1.9463884593809806</v>
      </c>
      <c r="AX23" s="1171">
        <v>2.2404878461386124</v>
      </c>
      <c r="AY23" s="1169">
        <v>10.866060669682643</v>
      </c>
      <c r="AZ23" s="1172" t="s">
        <v>1133</v>
      </c>
      <c r="BA23" s="1168">
        <v>0.81944234871489652</v>
      </c>
      <c r="BB23" s="1169">
        <v>314.17313862387675</v>
      </c>
      <c r="BC23" s="1169">
        <v>252.58549848487795</v>
      </c>
      <c r="BD23" s="1168">
        <v>0.13632923295426261</v>
      </c>
      <c r="BE23" s="1168">
        <v>0.17985197399683259</v>
      </c>
      <c r="BF23" s="1172" t="s">
        <v>192</v>
      </c>
      <c r="BG23" s="1168"/>
      <c r="BH23" s="1168">
        <v>0.18847539655285442</v>
      </c>
      <c r="BI23" s="1168"/>
      <c r="BJ23" s="1168"/>
      <c r="BK23" s="1171">
        <v>4.8308945113783262</v>
      </c>
      <c r="BL23" s="1384">
        <v>9.0471943008151295E-3</v>
      </c>
      <c r="BM23" s="1169"/>
      <c r="BN23" s="1172" t="s">
        <v>54</v>
      </c>
      <c r="BO23" s="1174">
        <v>2.7180827532475835E-2</v>
      </c>
      <c r="BP23" s="1168">
        <v>0.84369442857904864</v>
      </c>
      <c r="BQ23" s="1168"/>
      <c r="BR23" s="1168"/>
      <c r="BS23" s="1175"/>
      <c r="BT23" s="1176">
        <v>44.128999710082994</v>
      </c>
      <c r="BU23" s="1177">
        <v>1.5848489942608648</v>
      </c>
      <c r="BV23" s="1175"/>
      <c r="BW23" s="1178" t="s">
        <v>1088</v>
      </c>
    </row>
    <row r="24" spans="1:75" ht="18" thickBot="1">
      <c r="A24" s="407" t="s">
        <v>270</v>
      </c>
      <c r="B24" s="407" t="s">
        <v>830</v>
      </c>
      <c r="C24" s="404">
        <f>AVERAGE(BH$16:BH$20)</f>
        <v>162.25901647414861</v>
      </c>
      <c r="D24" s="404">
        <f>STDEV(BH$16:BH$20)</f>
        <v>9.0673760317164174</v>
      </c>
      <c r="E24" s="404">
        <v>18.134752063432835</v>
      </c>
      <c r="F24" s="404">
        <f>AVERAGE(BH$21:BH$25)</f>
        <v>0.14778944164176794</v>
      </c>
      <c r="G24" s="404">
        <f>STDEV(BH$21:BH$25)</f>
        <v>5.2952700766441284E-2</v>
      </c>
      <c r="H24" s="404">
        <v>0.10590540153288257</v>
      </c>
      <c r="I24" s="404">
        <f>AVERAGE(BH$26:BH$30)</f>
        <v>50.754634774352894</v>
      </c>
      <c r="J24" s="404">
        <f>STDEV(BH$26:BH$30)</f>
        <v>11.302506244533175</v>
      </c>
      <c r="K24" s="404">
        <v>22.60501248906635</v>
      </c>
      <c r="L24" s="1324">
        <v>3.1969300379271099</v>
      </c>
      <c r="M24" s="749">
        <v>0.73399498567580801</v>
      </c>
      <c r="N24" s="861">
        <v>1.467989971351616</v>
      </c>
      <c r="O24" s="407">
        <v>0.54</v>
      </c>
      <c r="P24" s="404">
        <v>-0.70699999999999996</v>
      </c>
      <c r="Q24" s="779">
        <v>0.43316566400000001</v>
      </c>
      <c r="R24" s="749">
        <f t="shared" si="0"/>
        <v>0.23581611682747461</v>
      </c>
      <c r="S24" s="749" cm="1">
        <f t="array" ref="S24:S32">O24:O32*(((1-(2*C46))/(1-C46))^P24:P32)</f>
        <v>1.4109525278962094</v>
      </c>
      <c r="T24" s="749" cm="1">
        <f t="array" ref="T24:T32">O24:O32*(((1-(2*C47))/(1-C47))^P24:P32)</f>
        <v>1.6071004873234713</v>
      </c>
      <c r="U24" s="749">
        <v>8.8678118027607278E-2</v>
      </c>
      <c r="V24" s="749">
        <v>0.10746984139965465</v>
      </c>
      <c r="W24" s="869">
        <f t="shared" si="1"/>
        <v>1.4996306459238167</v>
      </c>
      <c r="X24" s="869">
        <f t="shared" si="2"/>
        <v>2.1318116208259448</v>
      </c>
      <c r="Y24" s="749">
        <f t="shared" si="3"/>
        <v>0.48945051081137753</v>
      </c>
      <c r="Z24" s="749"/>
      <c r="AA24" s="749"/>
      <c r="AB24" s="869">
        <v>1097.9066885404031</v>
      </c>
      <c r="AC24" s="749">
        <v>398.13381325228755</v>
      </c>
      <c r="AD24" s="749">
        <v>796.26762650457511</v>
      </c>
      <c r="AE24" s="749"/>
      <c r="AF24" s="749"/>
      <c r="AG24" s="1502">
        <v>2.911841298805843E-3</v>
      </c>
      <c r="AH24" s="1503">
        <v>1.2283971139492049E-3</v>
      </c>
      <c r="AI24" s="1504">
        <v>2.4567942278984098E-3</v>
      </c>
      <c r="AJ24" s="407" t="s">
        <v>830</v>
      </c>
      <c r="AL24" s="1179" t="s">
        <v>1087</v>
      </c>
      <c r="AM24" s="1182"/>
      <c r="AN24" s="1180">
        <v>5.6872726357126391</v>
      </c>
      <c r="AO24" s="1181"/>
      <c r="AP24" s="1182">
        <v>713624.27673378342</v>
      </c>
      <c r="AQ24" s="1182">
        <v>133.13639839796414</v>
      </c>
      <c r="AR24" s="1183">
        <v>23000</v>
      </c>
      <c r="AS24" s="1182">
        <v>21905.070984654998</v>
      </c>
      <c r="AT24" s="1182">
        <v>221.86286895419309</v>
      </c>
      <c r="AU24" s="1182"/>
      <c r="AV24" s="1180"/>
      <c r="AW24" s="1184" t="s">
        <v>131</v>
      </c>
      <c r="AX24" s="1184" t="s">
        <v>115</v>
      </c>
      <c r="AY24" s="1180">
        <v>9.4530918468218736</v>
      </c>
      <c r="AZ24" s="1184" t="s">
        <v>1132</v>
      </c>
      <c r="BA24" s="1184" t="s">
        <v>161</v>
      </c>
      <c r="BB24" s="1182">
        <v>355.95832278983704</v>
      </c>
      <c r="BC24" s="1182">
        <v>301.60688511481965</v>
      </c>
      <c r="BD24" s="1180">
        <v>1.0288509811224202</v>
      </c>
      <c r="BE24" s="1184" t="s">
        <v>104</v>
      </c>
      <c r="BF24" s="1181">
        <v>0.11407494616194672</v>
      </c>
      <c r="BG24" s="1181"/>
      <c r="BH24" s="1181">
        <v>8.9297001981417976E-2</v>
      </c>
      <c r="BI24" s="1181"/>
      <c r="BJ24" s="1181"/>
      <c r="BK24" s="1181">
        <v>0.58486779441147818</v>
      </c>
      <c r="BL24" s="1389">
        <v>2.3171583987757305E-3</v>
      </c>
      <c r="BM24" s="1182"/>
      <c r="BN24" s="1182"/>
      <c r="BO24" s="1182"/>
      <c r="BP24" s="1181">
        <v>0.44453374358592457</v>
      </c>
      <c r="BQ24" s="1181"/>
      <c r="BR24" s="1181"/>
      <c r="BS24" s="1185"/>
      <c r="BT24" s="1186">
        <v>45.487001419067397</v>
      </c>
      <c r="BU24" s="1187">
        <v>1.5046332361093497</v>
      </c>
      <c r="BV24" s="1185"/>
      <c r="BW24" s="1188" t="s">
        <v>1085</v>
      </c>
    </row>
    <row r="25" spans="1:75" ht="17">
      <c r="A25" s="435" t="s">
        <v>313</v>
      </c>
      <c r="B25" s="435" t="s">
        <v>428</v>
      </c>
      <c r="C25" s="1448">
        <f>AVERAGE(BI$50:BI$54)</f>
        <v>426.42983602823267</v>
      </c>
      <c r="D25" s="433">
        <f>STDEV(BI$50:BI$54)</f>
        <v>32.789316116406475</v>
      </c>
      <c r="E25" s="1448">
        <v>65.57863223281295</v>
      </c>
      <c r="F25" s="406">
        <f>AVERAGE(BI$55:BI$59)</f>
        <v>0.42402871266501024</v>
      </c>
      <c r="G25" s="406">
        <f>STDEV(BI$55:BI$59)</f>
        <v>0.33346072126110632</v>
      </c>
      <c r="H25" s="406">
        <v>0.66692144252221264</v>
      </c>
      <c r="I25" s="1448">
        <f>AVERAGE(BI$60:BI$64)</f>
        <v>209.2284756688951</v>
      </c>
      <c r="J25" s="433">
        <f>STDEV(BI$60:BI$64)</f>
        <v>32.468299010520248</v>
      </c>
      <c r="K25" s="1448">
        <v>64.936598021040496</v>
      </c>
      <c r="L25" s="930">
        <v>2.0381061166026924</v>
      </c>
      <c r="M25" s="570">
        <v>0.35297293156391485</v>
      </c>
      <c r="N25" s="879">
        <v>0.7059458631278297</v>
      </c>
      <c r="O25" s="435">
        <v>0.13</v>
      </c>
      <c r="P25" s="433">
        <v>-0.84</v>
      </c>
      <c r="Q25" s="778">
        <v>0.43316566400000001</v>
      </c>
      <c r="R25" s="570">
        <f t="shared" si="0"/>
        <v>0.23581611682747461</v>
      </c>
      <c r="S25" s="573">
        <v>0.4069395100224969</v>
      </c>
      <c r="T25" s="573">
        <v>0.47500148104244966</v>
      </c>
      <c r="U25" s="573">
        <v>3.0564085071261904E-2</v>
      </c>
      <c r="V25" s="573">
        <v>3.7497885948690857E-2</v>
      </c>
      <c r="W25" s="885">
        <f t="shared" si="1"/>
        <v>0.4375035950937588</v>
      </c>
      <c r="X25" s="873">
        <f t="shared" si="2"/>
        <v>4.6584899860443842</v>
      </c>
      <c r="Y25" s="570">
        <f t="shared" si="3"/>
        <v>0.80678864247566084</v>
      </c>
      <c r="Z25" s="570"/>
      <c r="AA25" s="570"/>
      <c r="AB25" s="868">
        <v>1005.6626433340597</v>
      </c>
      <c r="AC25" s="571">
        <v>794.63532232965861</v>
      </c>
      <c r="AD25" s="571">
        <v>1589.2706446593172</v>
      </c>
      <c r="AE25" s="570"/>
      <c r="AF25" s="570"/>
      <c r="AG25" s="1506">
        <v>2.0266300335525906E-3</v>
      </c>
      <c r="AH25" s="785">
        <v>1.6244965887042258E-3</v>
      </c>
      <c r="AI25" s="1469">
        <v>3.2489931774084516E-3</v>
      </c>
      <c r="AJ25" s="435" t="s">
        <v>428</v>
      </c>
      <c r="AL25" s="1230" t="s">
        <v>1084</v>
      </c>
      <c r="AM25" s="1232"/>
      <c r="AN25" s="1232"/>
      <c r="AO25" s="1232"/>
      <c r="AP25" s="1231">
        <v>735378.2011123345</v>
      </c>
      <c r="AQ25" s="1231">
        <v>120.35640663621756</v>
      </c>
      <c r="AR25" s="1233">
        <v>23000</v>
      </c>
      <c r="AS25" s="1231">
        <v>23480.993277798912</v>
      </c>
      <c r="AT25" s="1231">
        <v>232.39694396780095</v>
      </c>
      <c r="AU25" s="1231"/>
      <c r="AV25" s="1232"/>
      <c r="AW25" s="1276">
        <v>3.0024500866912121</v>
      </c>
      <c r="AX25" s="1276">
        <v>3.4344786788421602</v>
      </c>
      <c r="AY25" s="1231">
        <v>11.516078227629595</v>
      </c>
      <c r="AZ25" s="1277" t="s">
        <v>1131</v>
      </c>
      <c r="BA25" s="1277" t="s">
        <v>158</v>
      </c>
      <c r="BB25" s="1231">
        <v>399.6509652792077</v>
      </c>
      <c r="BC25" s="1231">
        <v>342.20815052581406</v>
      </c>
      <c r="BD25" s="1232">
        <v>0.42037732245119158</v>
      </c>
      <c r="BE25" s="1232">
        <v>6.6280578737758861E-2</v>
      </c>
      <c r="BF25" s="1232">
        <v>0.14541165281313989</v>
      </c>
      <c r="BG25" s="1232"/>
      <c r="BH25" s="1232">
        <v>0.21706971676952938</v>
      </c>
      <c r="BI25" s="1232"/>
      <c r="BJ25" s="1232"/>
      <c r="BK25" s="1276">
        <v>7.425206823157815</v>
      </c>
      <c r="BL25" s="1231"/>
      <c r="BM25" s="1277" t="s">
        <v>180</v>
      </c>
      <c r="BN25" s="1390">
        <v>3.7721793524475261E-3</v>
      </c>
      <c r="BO25" s="1277" t="s">
        <v>118</v>
      </c>
      <c r="BP25" s="1232">
        <v>0.44099490466514818</v>
      </c>
      <c r="BQ25" s="1232"/>
      <c r="BR25" s="1232"/>
      <c r="BS25" s="1235"/>
      <c r="BT25" s="1236">
        <v>45.487001419067397</v>
      </c>
      <c r="BU25" s="1237">
        <v>1.5691044129707308</v>
      </c>
      <c r="BV25" s="1235"/>
      <c r="BW25" s="1238" t="s">
        <v>1082</v>
      </c>
    </row>
    <row r="26" spans="1:75" ht="17">
      <c r="A26" s="435" t="s">
        <v>313</v>
      </c>
      <c r="B26" s="435" t="s">
        <v>20</v>
      </c>
      <c r="C26" s="1448">
        <f>AVERAGE(BJ$50:BJ$54)</f>
        <v>208.2244959152161</v>
      </c>
      <c r="D26" s="433">
        <f>STDEV(BJ$50:BJ$54)</f>
        <v>13.586070946402216</v>
      </c>
      <c r="E26" s="1448">
        <v>27.172141892804433</v>
      </c>
      <c r="F26" s="1451">
        <f>AVERAGE(BJ$55:BJ$59)</f>
        <v>0.19853542020681295</v>
      </c>
      <c r="G26" s="406">
        <f>STDEV(BJ$55:BJ$59)</f>
        <v>0.20696303953780895</v>
      </c>
      <c r="H26" s="1451">
        <v>0.4139260790756179</v>
      </c>
      <c r="I26" s="1448">
        <f>AVERAGE(BJ$60:BJ$64)</f>
        <v>144.75895167420251</v>
      </c>
      <c r="J26" s="433">
        <f>STDEV(BJ$60:BJ$64)</f>
        <v>25.705055723935409</v>
      </c>
      <c r="K26" s="1448">
        <v>51.410111447870818</v>
      </c>
      <c r="L26" s="930">
        <v>1.4384222426800275</v>
      </c>
      <c r="M26" s="570">
        <v>0.27211975071900241</v>
      </c>
      <c r="N26" s="879">
        <v>0.54423950143800481</v>
      </c>
      <c r="O26" s="435">
        <v>0.12</v>
      </c>
      <c r="P26" s="433">
        <v>-0.61</v>
      </c>
      <c r="Q26" s="778">
        <v>0.43316566400000001</v>
      </c>
      <c r="R26" s="570">
        <f t="shared" si="0"/>
        <v>0.23581611682747461</v>
      </c>
      <c r="S26" s="573">
        <v>0.27483462508196294</v>
      </c>
      <c r="T26" s="573">
        <v>0.30750069857503315</v>
      </c>
      <c r="U26" s="573">
        <v>1.4840645337031444E-2</v>
      </c>
      <c r="V26" s="573">
        <v>1.782542815603877E-2</v>
      </c>
      <c r="W26" s="885">
        <f t="shared" si="1"/>
        <v>0.28967527041899438</v>
      </c>
      <c r="X26" s="873">
        <f t="shared" si="2"/>
        <v>4.9656370065675732</v>
      </c>
      <c r="Y26" s="570">
        <f t="shared" si="3"/>
        <v>0.93939586325543378</v>
      </c>
      <c r="Z26" s="570"/>
      <c r="AA26" s="570">
        <f>C26/AVERAGE(0.07, 0.05, 0.34, 0.47, 0.32)</f>
        <v>832.89798366086438</v>
      </c>
      <c r="AB26" s="868">
        <v>1048.8027561948902</v>
      </c>
      <c r="AC26" s="571">
        <v>1095.4628087262656</v>
      </c>
      <c r="AD26" s="571">
        <v>2190.9256174525312</v>
      </c>
      <c r="AE26" s="778">
        <f>AVERAGE(0.07,BJ56,BJ57,0.47,0.32)/I26</f>
        <v>1.7367780380764511E-3</v>
      </c>
      <c r="AF26" s="570"/>
      <c r="AG26" s="1506">
        <v>1.3714897621919843E-3</v>
      </c>
      <c r="AH26" s="785">
        <v>1.4503018997621261E-3</v>
      </c>
      <c r="AI26" s="1469">
        <v>2.9006037995242522E-3</v>
      </c>
      <c r="AJ26" s="435" t="s">
        <v>20</v>
      </c>
      <c r="AL26" s="1031" t="s">
        <v>1081</v>
      </c>
      <c r="AM26" s="978"/>
      <c r="AN26" s="977"/>
      <c r="AO26" s="978"/>
      <c r="AP26" s="979">
        <v>554978.93532369204</v>
      </c>
      <c r="AQ26" s="979">
        <v>282.1768232830604</v>
      </c>
      <c r="AR26" s="1032">
        <v>234300</v>
      </c>
      <c r="AS26" s="979">
        <v>236197.5248754636</v>
      </c>
      <c r="AT26" s="979">
        <v>1383.0625005335555</v>
      </c>
      <c r="AU26" s="979"/>
      <c r="AV26" s="978"/>
      <c r="AW26" s="980">
        <v>1.6137556265120425</v>
      </c>
      <c r="AX26" s="978">
        <v>0.36397186482706567</v>
      </c>
      <c r="AY26" s="980">
        <v>9.7952356778107621</v>
      </c>
      <c r="AZ26" s="987" t="s">
        <v>1022</v>
      </c>
      <c r="BA26" s="979">
        <v>33.238708118078527</v>
      </c>
      <c r="BB26" s="979">
        <v>168.76933083191335</v>
      </c>
      <c r="BC26" s="979">
        <v>146.78582277913156</v>
      </c>
      <c r="BD26" s="980">
        <v>1.2442002745597787</v>
      </c>
      <c r="BE26" s="978">
        <v>0.54974441986152944</v>
      </c>
      <c r="BF26" s="979">
        <v>36.72973330278694</v>
      </c>
      <c r="BG26" s="979"/>
      <c r="BH26" s="979">
        <v>40.91761049113326</v>
      </c>
      <c r="BI26" s="978"/>
      <c r="BJ26" s="978"/>
      <c r="BK26" s="978">
        <v>0.88488710629379586</v>
      </c>
      <c r="BL26" s="1190">
        <v>4.5089936235493079E-3</v>
      </c>
      <c r="BM26" s="1190">
        <v>4.2537635303396193E-3</v>
      </c>
      <c r="BN26" s="978">
        <v>8.4654909998007465E-3</v>
      </c>
      <c r="BO26" s="978">
        <v>1.091060411160188E-2</v>
      </c>
      <c r="BP26" s="979">
        <v>21.309500392821366</v>
      </c>
      <c r="BQ26" s="978"/>
      <c r="BR26" s="978"/>
      <c r="BS26" s="983"/>
      <c r="BT26" s="984">
        <v>45.488002777099595</v>
      </c>
      <c r="BU26" s="985">
        <v>2.4499585060847995</v>
      </c>
      <c r="BV26" s="983"/>
      <c r="BW26" s="1033" t="s">
        <v>1078</v>
      </c>
    </row>
    <row r="27" spans="1:75" ht="17">
      <c r="A27" s="407" t="s">
        <v>270</v>
      </c>
      <c r="B27" s="407" t="s">
        <v>422</v>
      </c>
      <c r="C27" s="1447">
        <f>AVERAGE(BK$16:BK$20)</f>
        <v>101.8225798512362</v>
      </c>
      <c r="D27" s="404">
        <f>STDEV(BK$16:BK$20)</f>
        <v>20.154556713340856</v>
      </c>
      <c r="E27" s="1447">
        <v>40.309113426681712</v>
      </c>
      <c r="F27" s="406">
        <f>AVERAGE(BK$21:BK$25)</f>
        <v>2.7834984349979486</v>
      </c>
      <c r="G27" s="406">
        <f>STDEV(BK$21:BK$25)</f>
        <v>3.1880303648822905</v>
      </c>
      <c r="H27" s="406">
        <v>6.376060729764581</v>
      </c>
      <c r="I27" s="406">
        <f>AVERAGE(BK$26:BK$30)</f>
        <v>1.9772284757516707</v>
      </c>
      <c r="J27" s="406">
        <f>STDEV(BK$26:BK$30)</f>
        <v>1.0856995013646196</v>
      </c>
      <c r="K27" s="406">
        <v>2.1713990027292391</v>
      </c>
      <c r="L27" s="1323">
        <v>51.497629687194816</v>
      </c>
      <c r="M27" s="571">
        <v>30.058567636130999</v>
      </c>
      <c r="N27" s="862">
        <v>60.117135272261997</v>
      </c>
      <c r="O27" s="407">
        <v>0.95</v>
      </c>
      <c r="P27" s="404">
        <v>-3.88</v>
      </c>
      <c r="Q27" s="779">
        <v>0.43316566400000001</v>
      </c>
      <c r="R27" s="749">
        <f t="shared" si="0"/>
        <v>0.23581611682747461</v>
      </c>
      <c r="S27" s="749">
        <v>184.86780030004644</v>
      </c>
      <c r="T27" s="749">
        <v>377.65922381948286</v>
      </c>
      <c r="U27" s="749">
        <v>73.440575696351402</v>
      </c>
      <c r="V27" s="749">
        <v>119.35084782308502</v>
      </c>
      <c r="W27" s="869">
        <f t="shared" si="1"/>
        <v>258.30837599639784</v>
      </c>
      <c r="X27" s="869">
        <f t="shared" si="2"/>
        <v>0.19936492376040085</v>
      </c>
      <c r="Y27" s="749">
        <f t="shared" si="3"/>
        <v>0.11636698779194898</v>
      </c>
      <c r="Z27" s="749"/>
      <c r="AA27" s="749"/>
      <c r="AB27" s="868">
        <v>36.580792922670078</v>
      </c>
      <c r="AC27" s="571">
        <v>42.518233102146361</v>
      </c>
      <c r="AD27" s="571">
        <v>85.036466204292722</v>
      </c>
      <c r="AE27" s="749"/>
      <c r="AF27" s="749"/>
      <c r="AG27" s="1506">
        <v>1.4077778411216555</v>
      </c>
      <c r="AH27" s="785">
        <v>1.7880987098788992</v>
      </c>
      <c r="AI27" s="1469">
        <v>3.5761974197577984</v>
      </c>
      <c r="AJ27" s="407" t="s">
        <v>422</v>
      </c>
      <c r="AL27" s="1031" t="s">
        <v>1077</v>
      </c>
      <c r="AM27" s="978"/>
      <c r="AN27" s="977"/>
      <c r="AO27" s="978"/>
      <c r="AP27" s="979">
        <v>686214.74515559722</v>
      </c>
      <c r="AQ27" s="979">
        <v>363.55828899567643</v>
      </c>
      <c r="AR27" s="1032">
        <v>234300</v>
      </c>
      <c r="AS27" s="979">
        <v>267777.46405535447</v>
      </c>
      <c r="AT27" s="979">
        <v>1338.8678084240041</v>
      </c>
      <c r="AU27" s="979"/>
      <c r="AV27" s="978"/>
      <c r="AW27" s="980">
        <v>2.1208641487477351</v>
      </c>
      <c r="AX27" s="980">
        <v>1.1268504386580418</v>
      </c>
      <c r="AY27" s="979">
        <v>10.764378819682628</v>
      </c>
      <c r="AZ27" s="977" t="s">
        <v>1130</v>
      </c>
      <c r="BA27" s="979">
        <v>35.800145646135249</v>
      </c>
      <c r="BB27" s="979">
        <v>191.49585707198924</v>
      </c>
      <c r="BC27" s="979">
        <v>171.973554423856</v>
      </c>
      <c r="BD27" s="980">
        <v>1.6665903022194761</v>
      </c>
      <c r="BE27" s="980">
        <v>2.0246383730575048</v>
      </c>
      <c r="BF27" s="979">
        <v>55.3718565788121</v>
      </c>
      <c r="BG27" s="979"/>
      <c r="BH27" s="979">
        <v>58.82374366165746</v>
      </c>
      <c r="BI27" s="978"/>
      <c r="BJ27" s="978"/>
      <c r="BK27" s="980">
        <v>2.5263241348644967</v>
      </c>
      <c r="BL27" s="978">
        <v>2.098634512794147E-2</v>
      </c>
      <c r="BM27" s="978">
        <v>2.7155760859407515E-2</v>
      </c>
      <c r="BN27" s="978">
        <v>2.5002762140470439E-2</v>
      </c>
      <c r="BO27" s="978">
        <v>5.156822293305395E-2</v>
      </c>
      <c r="BP27" s="979">
        <v>28.026597790293966</v>
      </c>
      <c r="BQ27" s="978"/>
      <c r="BR27" s="978"/>
      <c r="BS27" s="983"/>
      <c r="BT27" s="984">
        <v>45.488000869750998</v>
      </c>
      <c r="BU27" s="985">
        <v>1.9065138364191871</v>
      </c>
      <c r="BV27" s="983"/>
      <c r="BW27" s="1033" t="s">
        <v>1075</v>
      </c>
    </row>
    <row r="28" spans="1:75" ht="17">
      <c r="A28" s="407" t="s">
        <v>270</v>
      </c>
      <c r="B28" s="407" t="s">
        <v>22</v>
      </c>
      <c r="C28" s="1553">
        <f>AVERAGE(BL$16:BL$20)</f>
        <v>16.609535599639678</v>
      </c>
      <c r="D28" s="406">
        <f>STDEV(BL$16:BL$20)</f>
        <v>18.751114780708427</v>
      </c>
      <c r="E28" s="1553">
        <v>37.502229561416854</v>
      </c>
      <c r="F28" s="571">
        <f>AVERAGE(BL$21:BL$25)</f>
        <v>5.6821763497954302E-3</v>
      </c>
      <c r="G28" s="571">
        <f>STDEV(BL$21:BL$25)</f>
        <v>4.7588540239609824E-3</v>
      </c>
      <c r="H28" s="571">
        <v>9.5177080479219647E-3</v>
      </c>
      <c r="I28" s="406">
        <f>AVERAGE(BL$26:BL$30)</f>
        <v>1.8222296494342798E-2</v>
      </c>
      <c r="J28" s="406">
        <f>STDEV(BL$26:BL$30)</f>
        <v>1.2104642358324065E-2</v>
      </c>
      <c r="K28" s="406">
        <v>2.4209284716648131E-2</v>
      </c>
      <c r="L28" s="1323">
        <v>911.49518968677683</v>
      </c>
      <c r="M28" s="571">
        <v>1193.9408711017438</v>
      </c>
      <c r="N28" s="862">
        <v>2387.8817422034876</v>
      </c>
      <c r="O28" s="407">
        <v>1.65</v>
      </c>
      <c r="P28" s="404">
        <v>-5.08</v>
      </c>
      <c r="Q28" s="779">
        <v>0.43316566400000001</v>
      </c>
      <c r="R28" s="749">
        <f t="shared" si="0"/>
        <v>0.23581611682747461</v>
      </c>
      <c r="S28" s="749">
        <v>1639.0882416187249</v>
      </c>
      <c r="T28" s="749">
        <v>4176.2963500648275</v>
      </c>
      <c r="U28" s="749">
        <v>900.77684132716263</v>
      </c>
      <c r="V28" s="749">
        <v>1636.43126711894</v>
      </c>
      <c r="W28" s="869">
        <f t="shared" si="1"/>
        <v>2539.8650829458875</v>
      </c>
      <c r="X28" s="869">
        <f t="shared" si="2"/>
        <v>0.35887543626119311</v>
      </c>
      <c r="Y28" s="749">
        <f t="shared" si="3"/>
        <v>0.47008043030259694</v>
      </c>
      <c r="Z28" s="749"/>
      <c r="AA28" s="749">
        <f>C28/AVERAGE(BL23,BL24)</f>
        <v>2923.0940008114417</v>
      </c>
      <c r="AB28" s="868">
        <v>2923.0940008114417</v>
      </c>
      <c r="AC28" s="571">
        <v>4108.9112354465187</v>
      </c>
      <c r="AD28" s="571">
        <v>8217.8224708930375</v>
      </c>
      <c r="AE28" s="749">
        <f>AVERAGE(BL23,BL24)/I28</f>
        <v>0.31182547993111021</v>
      </c>
      <c r="AF28" s="749"/>
      <c r="AG28" s="1506">
        <v>0.31182547993111021</v>
      </c>
      <c r="AH28" s="785">
        <v>0.33332943195288339</v>
      </c>
      <c r="AI28" s="1469">
        <v>0.66665886390576679</v>
      </c>
      <c r="AJ28" s="407" t="s">
        <v>22</v>
      </c>
      <c r="AL28" s="1031" t="s">
        <v>1074</v>
      </c>
      <c r="AM28" s="978"/>
      <c r="AN28" s="977"/>
      <c r="AO28" s="978"/>
      <c r="AP28" s="979">
        <v>676425.29711946961</v>
      </c>
      <c r="AQ28" s="979">
        <v>357.99561327976932</v>
      </c>
      <c r="AR28" s="1032">
        <v>234300</v>
      </c>
      <c r="AS28" s="979">
        <v>242206.6806918318</v>
      </c>
      <c r="AT28" s="979">
        <v>1111.0567601873445</v>
      </c>
      <c r="AU28" s="979"/>
      <c r="AV28" s="978"/>
      <c r="AW28" s="980">
        <v>3.4664896003397185</v>
      </c>
      <c r="AX28" s="980">
        <v>2.8405667060749629</v>
      </c>
      <c r="AY28" s="979">
        <v>11.252463340515009</v>
      </c>
      <c r="AZ28" s="977" t="s">
        <v>1129</v>
      </c>
      <c r="BA28" s="979">
        <v>43.260657432071788</v>
      </c>
      <c r="BB28" s="979">
        <v>207.84807465081869</v>
      </c>
      <c r="BC28" s="979">
        <v>188.9649569860147</v>
      </c>
      <c r="BD28" s="980">
        <v>3.5290937177745718</v>
      </c>
      <c r="BE28" s="980">
        <v>4.6577996122116128</v>
      </c>
      <c r="BF28" s="979">
        <v>54.267763061282743</v>
      </c>
      <c r="BG28" s="979"/>
      <c r="BH28" s="979">
        <v>58.146816403226929</v>
      </c>
      <c r="BI28" s="978"/>
      <c r="BJ28" s="978"/>
      <c r="BK28" s="980">
        <v>3.478456680736417</v>
      </c>
      <c r="BL28" s="978">
        <v>2.6653506314844949E-2</v>
      </c>
      <c r="BM28" s="978">
        <v>6.5951841570136893E-2</v>
      </c>
      <c r="BN28" s="978">
        <v>0.10065545525939638</v>
      </c>
      <c r="BO28" s="978">
        <v>0.23987840712576863</v>
      </c>
      <c r="BP28" s="979">
        <v>43.636444324188254</v>
      </c>
      <c r="BQ28" s="978"/>
      <c r="BR28" s="978"/>
      <c r="BS28" s="983"/>
      <c r="BT28" s="984">
        <v>45.487001419067397</v>
      </c>
      <c r="BU28" s="985">
        <v>2.0150938035624062</v>
      </c>
      <c r="BV28" s="983"/>
      <c r="BW28" s="1033" t="s">
        <v>1071</v>
      </c>
    </row>
    <row r="29" spans="1:75" ht="17">
      <c r="A29" s="407" t="s">
        <v>270</v>
      </c>
      <c r="B29" s="407" t="s">
        <v>23</v>
      </c>
      <c r="C29" s="406">
        <f>AVERAGE(BM$16:BM$20)</f>
        <v>55.964605641569946</v>
      </c>
      <c r="D29" s="406">
        <f>STDEV(BM$16:BM$20)</f>
        <v>45.146090637300347</v>
      </c>
      <c r="E29" s="406">
        <v>90.292181274600694</v>
      </c>
      <c r="F29" s="406" t="e">
        <f>AVERAGE(BM$21:BM$25)</f>
        <v>#DIV/0!</v>
      </c>
      <c r="G29" s="406" t="e">
        <f>STDEV(BM$21:BM$25)</f>
        <v>#DIV/0!</v>
      </c>
      <c r="H29" s="406" t="e">
        <v>#DIV/0!</v>
      </c>
      <c r="I29" s="406">
        <f>AVERAGE(BM$26:BM$30)</f>
        <v>2.5329906993462832E-2</v>
      </c>
      <c r="J29" s="406">
        <f>STDEV(BM$26:BM$30)</f>
        <v>2.9180052224645529E-2</v>
      </c>
      <c r="K29" s="406">
        <v>5.8360104449291059E-2</v>
      </c>
      <c r="L29" s="1323">
        <v>2209.4279957685335</v>
      </c>
      <c r="M29" s="571">
        <v>3107.2545597446397</v>
      </c>
      <c r="N29" s="862">
        <v>6214.5091194892793</v>
      </c>
      <c r="O29" s="407">
        <v>1.71</v>
      </c>
      <c r="P29" s="404">
        <v>-5.34</v>
      </c>
      <c r="Q29" s="779">
        <v>0.43316566400000001</v>
      </c>
      <c r="R29" s="749">
        <f t="shared" si="0"/>
        <v>0.23581611682747461</v>
      </c>
      <c r="S29" s="749">
        <v>2418.3008254178053</v>
      </c>
      <c r="T29" s="749">
        <v>6463.8087391087674</v>
      </c>
      <c r="U29" s="749">
        <v>1413.948073025439</v>
      </c>
      <c r="V29" s="749">
        <v>2631.5598406655231</v>
      </c>
      <c r="W29" s="869">
        <f t="shared" si="1"/>
        <v>3832.2488984432443</v>
      </c>
      <c r="X29" s="869">
        <f t="shared" si="2"/>
        <v>0.57653562028970995</v>
      </c>
      <c r="Y29" s="749">
        <f t="shared" si="3"/>
        <v>0.81081752310161392</v>
      </c>
      <c r="Z29" s="749"/>
      <c r="AA29" s="749">
        <f>C29/AVERAGE(0.0084, 0.16, 0.0084, 0.0084, 0.16)</f>
        <v>810.61132157546285</v>
      </c>
      <c r="AB29" s="868" t="e">
        <v>#DIV/0!</v>
      </c>
      <c r="AC29" s="571" t="e">
        <v>#DIV/0!</v>
      </c>
      <c r="AD29" s="571" t="e">
        <v>#DIV/0!</v>
      </c>
      <c r="AE29" s="749">
        <f>AVERAGE(BM9,0.16,BM9,BM9,0.16)/I29</f>
        <v>2.7253945518099734</v>
      </c>
      <c r="AF29" s="749"/>
      <c r="AG29" s="1506" t="e">
        <v>#DIV/0!</v>
      </c>
      <c r="AH29" s="785" t="e">
        <v>#DIV/0!</v>
      </c>
      <c r="AI29" s="1469" t="e">
        <v>#DIV/0!</v>
      </c>
      <c r="AJ29" s="407" t="s">
        <v>23</v>
      </c>
      <c r="AL29" s="1031" t="s">
        <v>1070</v>
      </c>
      <c r="AM29" s="979"/>
      <c r="AN29" s="1138"/>
      <c r="AO29" s="1190"/>
      <c r="AP29" s="979">
        <v>572888.97019993293</v>
      </c>
      <c r="AQ29" s="979">
        <v>356.24669966762639</v>
      </c>
      <c r="AR29" s="1032">
        <v>234300</v>
      </c>
      <c r="AS29" s="979">
        <v>294254.92873287253</v>
      </c>
      <c r="AT29" s="979">
        <v>1469.2205308790212</v>
      </c>
      <c r="AU29" s="979"/>
      <c r="AV29" s="978"/>
      <c r="AW29" s="978">
        <v>0.94078051901082915</v>
      </c>
      <c r="AX29" s="977" t="s">
        <v>120</v>
      </c>
      <c r="AY29" s="980">
        <v>9.5132720253934018</v>
      </c>
      <c r="AZ29" s="977" t="s">
        <v>216</v>
      </c>
      <c r="BA29" s="979">
        <v>46.614847122846406</v>
      </c>
      <c r="BB29" s="979">
        <v>147.17828549589157</v>
      </c>
      <c r="BC29" s="979">
        <v>129.01162265478587</v>
      </c>
      <c r="BD29" s="980">
        <v>2.8550025221716742</v>
      </c>
      <c r="BE29" s="980">
        <v>3.3585279614821681</v>
      </c>
      <c r="BF29" s="979">
        <v>55.316678136246097</v>
      </c>
      <c r="BG29" s="979"/>
      <c r="BH29" s="979">
        <v>59.746070823239286</v>
      </c>
      <c r="BI29" s="978"/>
      <c r="BJ29" s="978"/>
      <c r="BK29" s="978">
        <v>0.99439868023006484</v>
      </c>
      <c r="BL29" s="978">
        <v>3.2053893083800793E-2</v>
      </c>
      <c r="BM29" s="977" t="s">
        <v>185</v>
      </c>
      <c r="BN29" s="978">
        <v>1.4954022906334415E-2</v>
      </c>
      <c r="BO29" s="978">
        <v>0.11211916578840687</v>
      </c>
      <c r="BP29" s="979">
        <v>36.826000264725913</v>
      </c>
      <c r="BQ29" s="978"/>
      <c r="BR29" s="978"/>
      <c r="BS29" s="983"/>
      <c r="BT29" s="984">
        <v>42.772001266479492</v>
      </c>
      <c r="BU29" s="985">
        <v>2.1166589302628935</v>
      </c>
      <c r="BV29" s="983"/>
      <c r="BW29" s="1033" t="s">
        <v>1068</v>
      </c>
    </row>
    <row r="30" spans="1:75" ht="17">
      <c r="A30" s="407" t="s">
        <v>270</v>
      </c>
      <c r="B30" s="407" t="s">
        <v>24</v>
      </c>
      <c r="C30" s="1553">
        <f>AVERAGE(BN$16:BN$20)</f>
        <v>471.99590141201696</v>
      </c>
      <c r="D30" s="406">
        <f>STDEV(BN$16:BN$20)</f>
        <v>954.15547689076527</v>
      </c>
      <c r="E30" s="1553">
        <v>1908.3109537815305</v>
      </c>
      <c r="F30" s="809">
        <f>AVERAGE(BN$21:BN$25)</f>
        <v>3.7721793524475261E-3</v>
      </c>
      <c r="G30" s="808" t="e">
        <f>STDEV(BN$21:BN$25)</f>
        <v>#DIV/0!</v>
      </c>
      <c r="H30" s="808" t="e">
        <v>#DIV/0!</v>
      </c>
      <c r="I30" s="406">
        <f>AVERAGE(BN$26:BN$30)</f>
        <v>3.0524699904312648E-2</v>
      </c>
      <c r="J30" s="406">
        <f>STDEV(BN$26:BN$30)</f>
        <v>4.001790873495558E-2</v>
      </c>
      <c r="K30" s="406">
        <v>8.0035817469911161E-2</v>
      </c>
      <c r="L30" s="1323">
        <v>15462.753209420793</v>
      </c>
      <c r="M30" s="571">
        <v>37256.317738285274</v>
      </c>
      <c r="N30" s="862">
        <v>74512.635476570547</v>
      </c>
      <c r="O30" s="407">
        <v>1.49</v>
      </c>
      <c r="P30" s="404">
        <v>-5.04</v>
      </c>
      <c r="Q30" s="779">
        <v>0.43316566400000001</v>
      </c>
      <c r="R30" s="749">
        <f t="shared" si="0"/>
        <v>0.23581611682747461</v>
      </c>
      <c r="S30" s="749">
        <v>1401.8621227031626</v>
      </c>
      <c r="T30" s="749">
        <v>3545.6506038531229</v>
      </c>
      <c r="U30" s="749">
        <v>762.92856550276611</v>
      </c>
      <c r="V30" s="749">
        <v>1380.8599156471942</v>
      </c>
      <c r="W30" s="869">
        <f t="shared" si="1"/>
        <v>2164.7906882059287</v>
      </c>
      <c r="X30" s="869">
        <f t="shared" si="2"/>
        <v>7.1428398568341755</v>
      </c>
      <c r="Y30" s="749">
        <f t="shared" si="3"/>
        <v>17.210124720723677</v>
      </c>
      <c r="Z30" s="749"/>
      <c r="AA30" s="749">
        <f>C30/AVERAGE(0.08, 0.02, 0.21, BN9, BN25)</f>
        <v>7410.5873092803049</v>
      </c>
      <c r="AB30" s="868">
        <v>125125.51957683799</v>
      </c>
      <c r="AC30" s="571" t="e">
        <v>#DIV/0!</v>
      </c>
      <c r="AD30" s="571" t="e">
        <v>#DIV/0!</v>
      </c>
      <c r="AE30" s="779"/>
      <c r="AF30" s="749"/>
      <c r="AG30" s="1506">
        <v>0.12357793407543305</v>
      </c>
      <c r="AH30" s="785" t="e">
        <v>#DIV/0!</v>
      </c>
      <c r="AI30" s="1469" t="e">
        <v>#DIV/0!</v>
      </c>
      <c r="AJ30" s="407" t="s">
        <v>24</v>
      </c>
      <c r="AL30" s="1031" t="s">
        <v>1067</v>
      </c>
      <c r="AM30" s="979"/>
      <c r="AN30" s="1138"/>
      <c r="AO30" s="1190"/>
      <c r="AP30" s="979">
        <v>499634.68303472747</v>
      </c>
      <c r="AQ30" s="979">
        <v>249.31815307551031</v>
      </c>
      <c r="AR30" s="1032">
        <v>234300</v>
      </c>
      <c r="AS30" s="979">
        <v>238164.87849258358</v>
      </c>
      <c r="AT30" s="979">
        <v>1390.4424796631281</v>
      </c>
      <c r="AU30" s="979"/>
      <c r="AV30" s="978"/>
      <c r="AW30" s="980">
        <v>1.6658732708836623</v>
      </c>
      <c r="AX30" s="978">
        <v>0.5235477295526999</v>
      </c>
      <c r="AY30" s="980">
        <v>7.5741422229317417</v>
      </c>
      <c r="AZ30" s="977" t="s">
        <v>307</v>
      </c>
      <c r="BA30" s="979">
        <v>39.653530782266877</v>
      </c>
      <c r="BB30" s="979">
        <v>157.71430485583883</v>
      </c>
      <c r="BC30" s="979">
        <v>138.47086425514843</v>
      </c>
      <c r="BD30" s="980">
        <v>1.3356154506198414</v>
      </c>
      <c r="BE30" s="978">
        <v>0.53740493743545859</v>
      </c>
      <c r="BF30" s="979">
        <v>36.433984187213035</v>
      </c>
      <c r="BG30" s="979"/>
      <c r="BH30" s="979">
        <v>36.138932492507536</v>
      </c>
      <c r="BI30" s="978"/>
      <c r="BJ30" s="978"/>
      <c r="BK30" s="980">
        <v>2.0020757766335793</v>
      </c>
      <c r="BL30" s="978">
        <v>6.908744321577477E-3</v>
      </c>
      <c r="BM30" s="1190">
        <v>3.9582620139673045E-3</v>
      </c>
      <c r="BN30" s="1190">
        <v>3.5457682155612463E-3</v>
      </c>
      <c r="BO30" s="978">
        <v>1.4125980802245686E-2</v>
      </c>
      <c r="BP30" s="979">
        <v>20.486767520059747</v>
      </c>
      <c r="BQ30" s="978"/>
      <c r="BR30" s="978"/>
      <c r="BS30" s="983"/>
      <c r="BT30" s="984">
        <v>44.809001922607393</v>
      </c>
      <c r="BU30" s="985">
        <v>2.5645046320834828</v>
      </c>
      <c r="BV30" s="983"/>
      <c r="BW30" s="1033" t="s">
        <v>1065</v>
      </c>
    </row>
    <row r="31" spans="1:75">
      <c r="A31" s="407" t="s">
        <v>270</v>
      </c>
      <c r="B31" s="407" t="s">
        <v>25</v>
      </c>
      <c r="C31" s="406">
        <f>AVERAGE(BO$16:BO$20)</f>
        <v>105.81141307816597</v>
      </c>
      <c r="D31" s="406">
        <f>STDEV(BO$16:BO$20)</f>
        <v>53.418368985718054</v>
      </c>
      <c r="E31" s="406">
        <v>106.83673797143611</v>
      </c>
      <c r="F31" s="803">
        <f>AVERAGE(BO$21:BO$25)</f>
        <v>2.7180827532475835E-2</v>
      </c>
      <c r="G31" s="803" t="e">
        <f>STDEV(BO$21:BO$25)</f>
        <v>#DIV/0!</v>
      </c>
      <c r="H31" s="803" t="e">
        <v>#DIV/0!</v>
      </c>
      <c r="I31" s="406">
        <f>AVERAGE(BO$26:BO$30)</f>
        <v>8.5720476152215411E-2</v>
      </c>
      <c r="J31" s="406">
        <f>STDEV(BO$26:BO$30)</f>
        <v>9.5328673041811349E-2</v>
      </c>
      <c r="K31" s="406">
        <v>0.1906573460836227</v>
      </c>
      <c r="L31" s="1323">
        <v>1234.3773369885944</v>
      </c>
      <c r="M31" s="571">
        <v>1507.561985426807</v>
      </c>
      <c r="N31" s="862">
        <v>3015.1239708536141</v>
      </c>
      <c r="O31" s="407">
        <v>0.95</v>
      </c>
      <c r="P31" s="404">
        <v>-4.2</v>
      </c>
      <c r="Q31" s="779">
        <v>0.43316566400000001</v>
      </c>
      <c r="R31" s="749">
        <f t="shared" si="0"/>
        <v>0.23581611682747461</v>
      </c>
      <c r="S31" s="749">
        <v>285.53288467212752</v>
      </c>
      <c r="T31" s="749">
        <v>618.70220311234664</v>
      </c>
      <c r="U31" s="749">
        <v>124.59091680436558</v>
      </c>
      <c r="V31" s="749">
        <v>208.57840163585354</v>
      </c>
      <c r="W31" s="869">
        <f t="shared" si="1"/>
        <v>410.1238014764931</v>
      </c>
      <c r="X31" s="869">
        <f t="shared" si="2"/>
        <v>3.0097676178380608</v>
      </c>
      <c r="Y31" s="749">
        <f t="shared" si="3"/>
        <v>3.6758705054410634</v>
      </c>
      <c r="Z31" s="749"/>
      <c r="AA31" s="749">
        <f>C31/AVERAGE(0.07, BO9, BO23, BO9, 0.2)</f>
        <v>1676.4751482570593</v>
      </c>
      <c r="AB31" s="868">
        <v>3892.8694482072624</v>
      </c>
      <c r="AC31" s="571" t="e">
        <v>#DIV/0!</v>
      </c>
      <c r="AD31" s="571" t="e">
        <v>#DIV/0!</v>
      </c>
      <c r="AE31" s="749">
        <f>AVERAGE(0.07,BO9,BO23,BO9,0.2)/I31</f>
        <v>0.73629325091511788</v>
      </c>
      <c r="AF31" s="749"/>
      <c r="AG31" s="1506">
        <v>0.3170867539770818</v>
      </c>
      <c r="AH31" s="785" t="e">
        <v>#DIV/0!</v>
      </c>
      <c r="AI31" s="1469" t="e">
        <v>#DIV/0!</v>
      </c>
      <c r="AJ31" s="407" t="s">
        <v>25</v>
      </c>
    </row>
    <row r="32" spans="1:75" ht="18" thickBot="1">
      <c r="A32" s="407" t="s">
        <v>270</v>
      </c>
      <c r="B32" s="407" t="s">
        <v>26</v>
      </c>
      <c r="C32" s="1447">
        <f>AVERAGE(BP$16:BP$20)</f>
        <v>274.79127697629661</v>
      </c>
      <c r="D32" s="404">
        <f>STDEV(BP$16:BP$20)</f>
        <v>51.873329464767004</v>
      </c>
      <c r="E32" s="1447">
        <v>103.74665892953401</v>
      </c>
      <c r="F32" s="732">
        <f>AVERAGE(BP$21:BP$25)</f>
        <v>0.48332279967276348</v>
      </c>
      <c r="G32" s="732">
        <f>STDEV(BP$21:BP$25)</f>
        <v>0.20766872532217473</v>
      </c>
      <c r="H32" s="732">
        <v>0.41533745064434946</v>
      </c>
      <c r="I32" s="1447">
        <f>AVERAGE(BP$26:BP$30)</f>
        <v>30.057062058417849</v>
      </c>
      <c r="J32" s="404">
        <f>STDEV(BP$26:BP$30)</f>
        <v>10.030594510660936</v>
      </c>
      <c r="K32" s="1447">
        <v>20.061189021321873</v>
      </c>
      <c r="L32" s="1324">
        <v>9.1423199127786319</v>
      </c>
      <c r="M32" s="749">
        <v>3.5052592456525162</v>
      </c>
      <c r="N32" s="861">
        <v>7.0105184913050325</v>
      </c>
      <c r="O32" s="407">
        <v>0.37</v>
      </c>
      <c r="P32" s="404">
        <v>-1.72</v>
      </c>
      <c r="Q32" s="779">
        <v>0.43316566400000001</v>
      </c>
      <c r="R32" s="749">
        <f t="shared" si="0"/>
        <v>0.23581611682747461</v>
      </c>
      <c r="S32" s="749">
        <v>3.8280190691107809</v>
      </c>
      <c r="T32" s="749">
        <v>5.2541521230794785</v>
      </c>
      <c r="U32" s="749">
        <v>0.61190284657878147</v>
      </c>
      <c r="V32" s="749">
        <v>0.81423020738991614</v>
      </c>
      <c r="W32" s="869">
        <f t="shared" si="1"/>
        <v>4.4399219156895624</v>
      </c>
      <c r="X32" s="869">
        <f t="shared" si="2"/>
        <v>2.0591172742187163</v>
      </c>
      <c r="Y32" s="749">
        <f t="shared" si="3"/>
        <v>0.78948668742705042</v>
      </c>
      <c r="Z32" s="749"/>
      <c r="AA32" s="749"/>
      <c r="AB32" s="869">
        <v>568.54606727087082</v>
      </c>
      <c r="AC32" s="749">
        <v>266.82366278406732</v>
      </c>
      <c r="AD32" s="749">
        <v>533.64732556813465</v>
      </c>
      <c r="AE32" s="749"/>
      <c r="AF32" s="749"/>
      <c r="AG32" s="1506">
        <v>1.6080174394070661E-2</v>
      </c>
      <c r="AH32" s="785">
        <v>8.748313048705764E-3</v>
      </c>
      <c r="AI32" s="1469">
        <v>1.7496626097411528E-2</v>
      </c>
      <c r="AJ32" s="407" t="s">
        <v>26</v>
      </c>
      <c r="AL32" s="309" t="s">
        <v>95</v>
      </c>
      <c r="AM32" s="311">
        <v>450</v>
      </c>
      <c r="AN32" s="311">
        <v>408</v>
      </c>
      <c r="AO32" s="311">
        <v>444</v>
      </c>
      <c r="AP32" s="311">
        <v>458</v>
      </c>
      <c r="AQ32" s="311">
        <v>410</v>
      </c>
      <c r="AR32" s="446">
        <v>458.7</v>
      </c>
      <c r="AS32" s="311">
        <v>458.7</v>
      </c>
      <c r="AT32" s="311">
        <v>441</v>
      </c>
      <c r="AU32" s="311">
        <v>460</v>
      </c>
      <c r="AV32" s="311">
        <v>460</v>
      </c>
      <c r="AW32" s="311">
        <v>433</v>
      </c>
      <c r="AX32" s="311">
        <v>433</v>
      </c>
      <c r="AY32" s="311">
        <v>447</v>
      </c>
      <c r="AZ32" s="311">
        <v>447</v>
      </c>
      <c r="BA32" s="311">
        <v>325</v>
      </c>
      <c r="BB32" s="311">
        <v>417</v>
      </c>
      <c r="BC32" s="311">
        <v>417</v>
      </c>
      <c r="BD32" s="308" t="s">
        <v>94</v>
      </c>
      <c r="BE32" s="308">
        <v>1.29</v>
      </c>
      <c r="BF32" s="308">
        <v>1.05</v>
      </c>
      <c r="BG32" s="311"/>
      <c r="BH32" s="308" t="s">
        <v>94</v>
      </c>
      <c r="BI32" s="311">
        <v>430</v>
      </c>
      <c r="BJ32" s="311">
        <v>396</v>
      </c>
      <c r="BK32" s="311">
        <v>444</v>
      </c>
      <c r="BL32" s="311">
        <v>49</v>
      </c>
      <c r="BM32" s="308" t="s">
        <v>94</v>
      </c>
      <c r="BN32" s="308" t="s">
        <v>94</v>
      </c>
      <c r="BO32" s="308">
        <v>3.15</v>
      </c>
      <c r="BP32" s="308">
        <v>22.1</v>
      </c>
      <c r="BQ32" s="311">
        <v>426</v>
      </c>
      <c r="BR32" s="311">
        <v>357.7</v>
      </c>
    </row>
    <row r="33" spans="1:75">
      <c r="A33" s="435" t="s">
        <v>313</v>
      </c>
      <c r="B33" s="435" t="s">
        <v>27</v>
      </c>
      <c r="C33" s="406">
        <f>AVERAGE(BQ$50:BQ$54)</f>
        <v>153.05388608893634</v>
      </c>
      <c r="D33" s="406" t="e">
        <f>STDEV(BQ$50:BQ$54)</f>
        <v>#DIV/0!</v>
      </c>
      <c r="E33" s="406" t="e">
        <v>#DIV/0!</v>
      </c>
      <c r="F33" s="1451">
        <f>AVERAGE(BQ$55:BQ$59)</f>
        <v>0.61842275847604466</v>
      </c>
      <c r="G33" s="406">
        <f>STDEV(BQ$55:BQ$59)</f>
        <v>0.89702887077116789</v>
      </c>
      <c r="H33" s="1451">
        <v>1.7940577415423358</v>
      </c>
      <c r="I33" s="1448">
        <f>AVERAGE(BQ$60:BQ$64)</f>
        <v>697.16183195787221</v>
      </c>
      <c r="J33" s="433">
        <f>STDEV(BQ$60:BQ$64)</f>
        <v>212.94045146597784</v>
      </c>
      <c r="K33" s="1448">
        <v>425.88090293195569</v>
      </c>
      <c r="L33" s="1323">
        <v>0.21953853334039808</v>
      </c>
      <c r="M33" s="571" t="e">
        <v>#DIV/0!</v>
      </c>
      <c r="N33" s="862" t="e">
        <v>#DIV/0!</v>
      </c>
      <c r="O33" s="435">
        <v>2.5000000000000001E-2</v>
      </c>
      <c r="P33" s="433">
        <v>3</v>
      </c>
      <c r="Q33" s="778">
        <v>0.43316566400000001</v>
      </c>
      <c r="R33" s="570">
        <f t="shared" si="0"/>
        <v>0.23581611682747461</v>
      </c>
      <c r="S33" s="1333">
        <f>O33*(((1-(2*C47))/(1-C47))^P33)</f>
        <v>2.4440654117117175E-4</v>
      </c>
      <c r="T33" s="1333">
        <f>O33*(((1-(2*C46))/(1-C46))^P33)</f>
        <v>4.2460803011827846E-4</v>
      </c>
      <c r="U33" s="1333">
        <v>8.3432340375588212E-5</v>
      </c>
      <c r="V33" s="1333">
        <v>9.6769148571518499E-5</v>
      </c>
      <c r="W33" s="1370">
        <f t="shared" si="1"/>
        <v>3.2783888154675996E-4</v>
      </c>
      <c r="X33" s="873">
        <f t="shared" si="2"/>
        <v>669.65374059539397</v>
      </c>
      <c r="Y33" s="570" t="e">
        <f t="shared" si="3"/>
        <v>#DIV/0!</v>
      </c>
      <c r="Z33" s="1475">
        <f>AVERAGE(BQ54)/F33</f>
        <v>247.49070759637166</v>
      </c>
      <c r="AA33" s="1475"/>
      <c r="AB33" s="868">
        <v>247.49070759637166</v>
      </c>
      <c r="AC33" s="571" t="e">
        <v>#DIV/0!</v>
      </c>
      <c r="AD33" s="571" t="e">
        <v>#DIV/0!</v>
      </c>
      <c r="AE33" s="570"/>
      <c r="AF33" s="570"/>
      <c r="AG33" s="1543">
        <v>8.8705768177138882E-4</v>
      </c>
      <c r="AH33" s="786">
        <v>1.3149039186146512E-3</v>
      </c>
      <c r="AI33" s="1544">
        <v>2.6298078372293024E-3</v>
      </c>
      <c r="AJ33" s="435" t="s">
        <v>27</v>
      </c>
    </row>
    <row r="34" spans="1:75">
      <c r="A34" s="435" t="s">
        <v>313</v>
      </c>
      <c r="B34" s="435" t="s">
        <v>28</v>
      </c>
      <c r="C34" s="406">
        <f>AVERAGE(BR$50:BR$54)</f>
        <v>93.87095613947848</v>
      </c>
      <c r="D34" s="406">
        <f>STDEV(BR$50:BR$54)</f>
        <v>132.63282675211693</v>
      </c>
      <c r="E34" s="406">
        <v>265.26565350423385</v>
      </c>
      <c r="F34" s="1451">
        <f>AVERAGE(BR$55:BR$59)</f>
        <v>0.57478849808355625</v>
      </c>
      <c r="G34" s="406">
        <f>STDEV(BR$55:BR$59)</f>
        <v>0.55151122959148235</v>
      </c>
      <c r="H34" s="1451">
        <v>1.1030224591829647</v>
      </c>
      <c r="I34" s="1448">
        <f>AVERAGE(BR$60:BR$64)</f>
        <v>597.26783744886256</v>
      </c>
      <c r="J34" s="433">
        <f>STDEV(BR$60:BR$64)</f>
        <v>174.67459742018096</v>
      </c>
      <c r="K34" s="1448">
        <v>349.34919484036192</v>
      </c>
      <c r="L34" s="1323">
        <v>0.15716727111982756</v>
      </c>
      <c r="M34" s="571">
        <v>0.22677302797635129</v>
      </c>
      <c r="N34" s="862">
        <v>0.45354605595270259</v>
      </c>
      <c r="O34" s="435">
        <v>1.2E-2</v>
      </c>
      <c r="P34" s="433">
        <v>7.5</v>
      </c>
      <c r="Q34" s="778">
        <v>0.43316566400000001</v>
      </c>
      <c r="R34" s="570">
        <f t="shared" si="0"/>
        <v>0.23581611682747461</v>
      </c>
      <c r="S34" s="1355">
        <f>O34*(((1-(2*C47))/(1-C47))^P34)</f>
        <v>1.1340006063364308E-7</v>
      </c>
      <c r="T34" s="1355">
        <f>O34*(((1-(2*C46))/(1-C46))^P34)</f>
        <v>4.5113002482895777E-7</v>
      </c>
      <c r="U34" s="1355">
        <v>1.2291008776873119E-7</v>
      </c>
      <c r="V34" s="1355">
        <v>2.1481987642658349E-7</v>
      </c>
      <c r="W34" s="1371">
        <f t="shared" si="1"/>
        <v>2.3631014840237428E-7</v>
      </c>
      <c r="X34" s="873">
        <f t="shared" si="2"/>
        <v>665088.961191006</v>
      </c>
      <c r="Y34" s="570">
        <f t="shared" si="3"/>
        <v>959641.51141835959</v>
      </c>
      <c r="Z34" s="1475">
        <f>AVERAGE(BR53,BR54)/F34</f>
        <v>163.31390842450816</v>
      </c>
      <c r="AA34" s="570"/>
      <c r="AB34" s="868">
        <v>163.31390842450816</v>
      </c>
      <c r="AC34" s="571">
        <v>278.92796747312184</v>
      </c>
      <c r="AD34" s="571">
        <v>557.85593494624368</v>
      </c>
      <c r="AE34" s="570"/>
      <c r="AF34" s="570"/>
      <c r="AG34" s="1543">
        <v>9.6236305061842377E-4</v>
      </c>
      <c r="AH34" s="786">
        <v>9.653304246868776E-4</v>
      </c>
      <c r="AI34" s="1544">
        <v>1.9306608493737552E-3</v>
      </c>
      <c r="AJ34" s="435" t="s">
        <v>28</v>
      </c>
    </row>
    <row r="35" spans="1:75">
      <c r="A35" s="1262" t="s">
        <v>1395</v>
      </c>
      <c r="B35" s="1262" t="s">
        <v>6</v>
      </c>
      <c r="L35" s="974">
        <f>H40/B40</f>
        <v>1.1803890098064191</v>
      </c>
      <c r="M35" s="386">
        <f>L35*SQRT((I40/H40)^2 + (C40/B40)^2)</f>
        <v>1.914160648251944E-2</v>
      </c>
      <c r="N35" s="975">
        <f>2*M35</f>
        <v>3.8283212965038879E-2</v>
      </c>
      <c r="AB35" s="974">
        <f>H40/E40</f>
        <v>0.89272947087629007</v>
      </c>
      <c r="AC35" s="386">
        <f>AB35*SQRT((I40/H40)^2 + (F40/E40)^2)</f>
        <v>2.0400464306085261E-2</v>
      </c>
      <c r="AD35" s="975">
        <f>2*AC35</f>
        <v>4.0800928612170523E-2</v>
      </c>
      <c r="AE35"/>
      <c r="AF35"/>
      <c r="AG35" s="386">
        <f>E40/B40</f>
        <v>1.3222247593638492</v>
      </c>
      <c r="AH35" s="386">
        <f>AG35*SQRT((C40/B40)^2 + (F40/E40)^2)</f>
        <v>3.1635428174741673E-2</v>
      </c>
      <c r="AI35" s="975">
        <f>2*AH35</f>
        <v>6.3270856349483345E-2</v>
      </c>
      <c r="AJ35" s="386"/>
    </row>
    <row r="36" spans="1:75">
      <c r="A36" s="1262" t="s">
        <v>1395</v>
      </c>
      <c r="B36" s="1262" t="s">
        <v>8</v>
      </c>
      <c r="L36" s="971">
        <f>H41/B41</f>
        <v>1.9479243140803468</v>
      </c>
      <c r="M36" s="972">
        <f>L36*SQRT((I41/H41)^2 + (C41/B41)^2)</f>
        <v>6.7839716221051088E-2</v>
      </c>
      <c r="N36" s="973">
        <f>2*M36</f>
        <v>0.13567943244210218</v>
      </c>
      <c r="AB36" s="971">
        <f>H41/E41</f>
        <v>19.842065217391301</v>
      </c>
      <c r="AC36" s="972">
        <f>AB36*SQRT((I41/H41)^2 + (F41/E41)^2)</f>
        <v>5.9083947664864223</v>
      </c>
      <c r="AD36" s="1054">
        <f>2*AC36</f>
        <v>11.816789532972845</v>
      </c>
      <c r="AE36"/>
      <c r="AF36"/>
      <c r="AG36" s="1486">
        <f>E41/B41</f>
        <v>9.8171450035000274E-2</v>
      </c>
      <c r="AH36" s="1486">
        <f>AG36*SQRT((C41/B41)^2 + (F41/E41)^2)</f>
        <v>2.9287746645429758E-2</v>
      </c>
      <c r="AI36" s="1490">
        <f>2*AH36</f>
        <v>5.8575493290859516E-2</v>
      </c>
      <c r="AJ36" s="386"/>
    </row>
    <row r="37" spans="1:75" ht="19">
      <c r="AL37" s="1191" t="s">
        <v>313</v>
      </c>
      <c r="AM37" s="381" t="s">
        <v>0</v>
      </c>
      <c r="AN37" s="307"/>
      <c r="AO37" s="307"/>
      <c r="AP37" s="373"/>
      <c r="AQ37" s="373"/>
      <c r="AR37" s="307"/>
      <c r="AS37" s="307"/>
      <c r="AT37" s="307"/>
      <c r="AU37" s="307"/>
      <c r="AV37" s="307"/>
      <c r="AW37" s="307"/>
      <c r="AX37" s="307"/>
      <c r="AY37" s="373"/>
      <c r="AZ37" s="373"/>
      <c r="BA37" s="373"/>
      <c r="BB37" s="373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</row>
    <row r="38" spans="1:75" ht="18" thickBot="1">
      <c r="A38" s="761" t="s">
        <v>1128</v>
      </c>
      <c r="B38" s="762" t="s">
        <v>1127</v>
      </c>
      <c r="C38" s="762" t="s">
        <v>819</v>
      </c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AL38" s="380"/>
      <c r="AM38" s="307" t="s">
        <v>1126</v>
      </c>
      <c r="AN38" s="307"/>
      <c r="AO38" s="307"/>
      <c r="AP38" s="307"/>
      <c r="AQ38" s="373"/>
      <c r="AR38" s="307"/>
      <c r="AS38" s="307"/>
      <c r="AT38" s="307"/>
      <c r="AU38" s="307"/>
      <c r="AV38" s="379"/>
      <c r="AW38" s="378">
        <v>43788.377083333333</v>
      </c>
      <c r="AX38" s="307"/>
      <c r="AY38" s="379"/>
      <c r="AZ38" s="378"/>
      <c r="BA38" s="373"/>
      <c r="BB38" s="373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</row>
    <row r="39" spans="1:75" ht="34">
      <c r="A39" s="763"/>
      <c r="B39" s="746" t="s">
        <v>390</v>
      </c>
      <c r="C39" s="757" t="s">
        <v>1350</v>
      </c>
      <c r="D39" s="1423" t="s">
        <v>1420</v>
      </c>
      <c r="E39" s="746" t="s">
        <v>389</v>
      </c>
      <c r="F39" s="757" t="s">
        <v>1347</v>
      </c>
      <c r="G39" s="1423" t="s">
        <v>1417</v>
      </c>
      <c r="H39" s="746" t="s">
        <v>388</v>
      </c>
      <c r="I39" s="757" t="s">
        <v>1348</v>
      </c>
      <c r="J39" s="1423" t="s">
        <v>1418</v>
      </c>
      <c r="K39" s="1458"/>
      <c r="N39" s="762"/>
      <c r="P39" s="768" t="s">
        <v>818</v>
      </c>
      <c r="Q39" s="759" t="s">
        <v>817</v>
      </c>
      <c r="R39" s="759" t="s">
        <v>572</v>
      </c>
      <c r="S39" s="760" t="s">
        <v>816</v>
      </c>
      <c r="AL39" s="309" t="s">
        <v>2</v>
      </c>
      <c r="AM39" s="375" t="s">
        <v>3</v>
      </c>
      <c r="AN39" s="375" t="s">
        <v>4</v>
      </c>
      <c r="AO39" s="375" t="s">
        <v>5</v>
      </c>
      <c r="AP39" s="375" t="s">
        <v>6</v>
      </c>
      <c r="AQ39" s="375" t="s">
        <v>7</v>
      </c>
      <c r="AR39" s="377" t="s">
        <v>8</v>
      </c>
      <c r="AS39" s="375" t="s">
        <v>8</v>
      </c>
      <c r="AT39" s="375" t="s">
        <v>9</v>
      </c>
      <c r="AU39" s="375" t="s">
        <v>10</v>
      </c>
      <c r="AV39" s="375" t="s">
        <v>10</v>
      </c>
      <c r="AW39" s="375" t="s">
        <v>11</v>
      </c>
      <c r="AX39" s="375" t="s">
        <v>11</v>
      </c>
      <c r="AY39" s="375" t="s">
        <v>12</v>
      </c>
      <c r="AZ39" s="375" t="s">
        <v>12</v>
      </c>
      <c r="BA39" s="375" t="s">
        <v>13</v>
      </c>
      <c r="BB39" s="375" t="s">
        <v>14</v>
      </c>
      <c r="BC39" s="375" t="s">
        <v>14</v>
      </c>
      <c r="BD39" s="375" t="s">
        <v>15</v>
      </c>
      <c r="BE39" s="375" t="s">
        <v>16</v>
      </c>
      <c r="BF39" s="375" t="s">
        <v>17</v>
      </c>
      <c r="BG39" s="375" t="s">
        <v>18</v>
      </c>
      <c r="BH39" s="375" t="s">
        <v>17</v>
      </c>
      <c r="BI39" s="375" t="s">
        <v>19</v>
      </c>
      <c r="BJ39" s="375" t="s">
        <v>20</v>
      </c>
      <c r="BK39" s="375" t="s">
        <v>21</v>
      </c>
      <c r="BL39" s="375" t="s">
        <v>22</v>
      </c>
      <c r="BM39" s="375" t="s">
        <v>23</v>
      </c>
      <c r="BN39" s="375" t="s">
        <v>24</v>
      </c>
      <c r="BO39" s="375" t="s">
        <v>25</v>
      </c>
      <c r="BP39" s="375" t="s">
        <v>26</v>
      </c>
      <c r="BQ39" s="375" t="s">
        <v>27</v>
      </c>
      <c r="BR39" s="375" t="s">
        <v>28</v>
      </c>
      <c r="BS39" s="307"/>
      <c r="BT39" s="375" t="s">
        <v>29</v>
      </c>
      <c r="BU39" s="375" t="s">
        <v>30</v>
      </c>
      <c r="BV39" s="375"/>
      <c r="BW39" s="375" t="s">
        <v>31</v>
      </c>
    </row>
    <row r="40" spans="1:75" ht="18" thickBot="1">
      <c r="A40" s="764" t="s">
        <v>6</v>
      </c>
      <c r="B40" s="1413">
        <v>45.457979999999999</v>
      </c>
      <c r="C40" s="755">
        <v>0.56887445657084612</v>
      </c>
      <c r="D40" s="1418" cm="1">
        <f t="array" ref="D40:D42">2*C40:C42</f>
        <v>1.1377489131416922</v>
      </c>
      <c r="E40" s="1413">
        <v>60.105666666666671</v>
      </c>
      <c r="F40" s="755">
        <v>1.2256864001510146</v>
      </c>
      <c r="G40" s="1418" cm="1">
        <f t="array" ref="G40:G42">2*F40:F42</f>
        <v>2.4513728003020292</v>
      </c>
      <c r="H40" s="1413">
        <v>53.658100000000005</v>
      </c>
      <c r="I40" s="755">
        <v>0.55338811924933506</v>
      </c>
      <c r="J40" s="1418" cm="1">
        <f t="array" ref="J40:J42">2*I40:I42</f>
        <v>1.1067762384986701</v>
      </c>
      <c r="K40" s="1460"/>
      <c r="N40" s="762"/>
      <c r="P40" s="766"/>
      <c r="Q40" s="769" t="s">
        <v>815</v>
      </c>
      <c r="R40" s="769" t="s">
        <v>814</v>
      </c>
      <c r="S40" s="770" t="s">
        <v>813</v>
      </c>
      <c r="AL40" s="309" t="s">
        <v>32</v>
      </c>
      <c r="AM40" s="307">
        <v>51</v>
      </c>
      <c r="AN40" s="307">
        <v>53</v>
      </c>
      <c r="AO40" s="307">
        <v>55</v>
      </c>
      <c r="AP40" s="307">
        <v>57</v>
      </c>
      <c r="AQ40" s="307">
        <v>59</v>
      </c>
      <c r="AR40" s="370">
        <v>61</v>
      </c>
      <c r="AS40" s="307">
        <v>62</v>
      </c>
      <c r="AT40" s="307">
        <v>63</v>
      </c>
      <c r="AU40" s="307">
        <v>66</v>
      </c>
      <c r="AV40" s="307">
        <v>67</v>
      </c>
      <c r="AW40" s="307">
        <v>69</v>
      </c>
      <c r="AX40" s="307">
        <v>71</v>
      </c>
      <c r="AY40" s="307">
        <v>72</v>
      </c>
      <c r="AZ40" s="307">
        <v>73</v>
      </c>
      <c r="BA40" s="307">
        <v>75</v>
      </c>
      <c r="BB40" s="307">
        <v>95</v>
      </c>
      <c r="BC40" s="307">
        <v>97</v>
      </c>
      <c r="BD40" s="307">
        <v>101</v>
      </c>
      <c r="BE40" s="307">
        <v>103</v>
      </c>
      <c r="BF40" s="307">
        <v>105</v>
      </c>
      <c r="BG40" s="307">
        <v>107</v>
      </c>
      <c r="BH40" s="307">
        <v>108</v>
      </c>
      <c r="BI40" s="307">
        <v>118</v>
      </c>
      <c r="BJ40" s="307">
        <v>121</v>
      </c>
      <c r="BK40" s="307">
        <v>184</v>
      </c>
      <c r="BL40" s="307">
        <v>185</v>
      </c>
      <c r="BM40" s="307">
        <v>189</v>
      </c>
      <c r="BN40" s="307">
        <v>193</v>
      </c>
      <c r="BO40" s="307">
        <v>195</v>
      </c>
      <c r="BP40" s="307">
        <v>197</v>
      </c>
      <c r="BQ40" s="307">
        <v>208</v>
      </c>
      <c r="BR40" s="307">
        <v>209</v>
      </c>
      <c r="BS40" s="307"/>
      <c r="BT40" s="375" t="s">
        <v>33</v>
      </c>
      <c r="BU40" s="375" t="s">
        <v>34</v>
      </c>
      <c r="BV40" s="307"/>
      <c r="BW40" s="307"/>
    </row>
    <row r="41" spans="1:75" ht="17">
      <c r="A41" s="764" t="s">
        <v>8</v>
      </c>
      <c r="B41" s="1413">
        <v>23.4284</v>
      </c>
      <c r="C41" s="755">
        <v>0.65171184567714924</v>
      </c>
      <c r="D41" s="1418">
        <v>1.3034236913542985</v>
      </c>
      <c r="E41" s="1413">
        <v>2.3000000000000003</v>
      </c>
      <c r="F41" s="755">
        <v>0.68317573940318665</v>
      </c>
      <c r="G41" s="1418">
        <v>1.3663514788063733</v>
      </c>
      <c r="H41" s="1413">
        <v>45.636749999999999</v>
      </c>
      <c r="I41" s="755">
        <v>0.95630697972653389</v>
      </c>
      <c r="J41" s="1418">
        <v>1.9126139594530678</v>
      </c>
      <c r="K41" s="1459"/>
      <c r="N41" s="762"/>
      <c r="O41" s="762"/>
      <c r="P41" s="762"/>
      <c r="Q41" s="762"/>
      <c r="R41" s="762"/>
      <c r="S41" s="762"/>
      <c r="AL41" s="309"/>
      <c r="AM41" s="375" t="s">
        <v>35</v>
      </c>
      <c r="AN41" s="375" t="s">
        <v>35</v>
      </c>
      <c r="AO41" s="375" t="s">
        <v>35</v>
      </c>
      <c r="AP41" s="375" t="s">
        <v>35</v>
      </c>
      <c r="AQ41" s="375" t="s">
        <v>35</v>
      </c>
      <c r="AR41" s="376" t="s">
        <v>35</v>
      </c>
      <c r="AS41" s="375" t="s">
        <v>35</v>
      </c>
      <c r="AT41" s="375" t="s">
        <v>35</v>
      </c>
      <c r="AU41" s="375" t="s">
        <v>35</v>
      </c>
      <c r="AV41" s="375" t="s">
        <v>35</v>
      </c>
      <c r="AW41" s="375" t="s">
        <v>35</v>
      </c>
      <c r="AX41" s="375" t="s">
        <v>35</v>
      </c>
      <c r="AY41" s="375" t="s">
        <v>35</v>
      </c>
      <c r="AZ41" s="375" t="s">
        <v>35</v>
      </c>
      <c r="BA41" s="375" t="s">
        <v>35</v>
      </c>
      <c r="BB41" s="375" t="s">
        <v>35</v>
      </c>
      <c r="BC41" s="375" t="s">
        <v>35</v>
      </c>
      <c r="BD41" s="375" t="s">
        <v>35</v>
      </c>
      <c r="BE41" s="375" t="s">
        <v>35</v>
      </c>
      <c r="BF41" s="375" t="s">
        <v>35</v>
      </c>
      <c r="BG41" s="375" t="s">
        <v>35</v>
      </c>
      <c r="BH41" s="375" t="s">
        <v>35</v>
      </c>
      <c r="BI41" s="375" t="s">
        <v>35</v>
      </c>
      <c r="BJ41" s="375" t="s">
        <v>35</v>
      </c>
      <c r="BK41" s="375" t="s">
        <v>35</v>
      </c>
      <c r="BL41" s="375" t="s">
        <v>35</v>
      </c>
      <c r="BM41" s="375" t="s">
        <v>35</v>
      </c>
      <c r="BN41" s="375" t="s">
        <v>35</v>
      </c>
      <c r="BO41" s="375" t="s">
        <v>35</v>
      </c>
      <c r="BP41" s="375" t="s">
        <v>35</v>
      </c>
      <c r="BQ41" s="375" t="s">
        <v>35</v>
      </c>
      <c r="BR41" s="375" t="s">
        <v>35</v>
      </c>
      <c r="BS41" s="307"/>
      <c r="BT41" s="307"/>
      <c r="BU41" s="307"/>
      <c r="BV41" s="307"/>
      <c r="BW41" s="307"/>
    </row>
    <row r="42" spans="1:75" ht="18" thickBot="1">
      <c r="A42" s="766" t="s">
        <v>380</v>
      </c>
      <c r="B42" s="1415">
        <v>29.722160000000002</v>
      </c>
      <c r="C42" s="756">
        <v>0.31871373677355552</v>
      </c>
      <c r="D42" s="1419">
        <v>0.63742747354711105</v>
      </c>
      <c r="E42" s="1415">
        <v>36.789166666666667</v>
      </c>
      <c r="F42" s="756">
        <v>0.39943524525448998</v>
      </c>
      <c r="G42" s="1419">
        <v>0.79887049050897996</v>
      </c>
      <c r="H42" s="726">
        <v>0.39624999999999999</v>
      </c>
      <c r="I42" s="756">
        <v>1.1486309413705014</v>
      </c>
      <c r="J42" s="1462">
        <v>2.2972618827410027</v>
      </c>
      <c r="K42" s="1460"/>
      <c r="N42" s="762"/>
      <c r="O42" s="762"/>
      <c r="P42" s="762"/>
      <c r="Q42" s="762"/>
      <c r="R42" s="762"/>
      <c r="S42" s="762"/>
      <c r="AL42" s="309"/>
      <c r="AM42" s="373"/>
      <c r="AN42" s="373"/>
      <c r="AO42" s="373"/>
      <c r="AP42" s="373"/>
      <c r="AQ42" s="373"/>
      <c r="AR42" s="374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 s="373"/>
      <c r="BU42" s="373"/>
      <c r="BV42" s="373"/>
      <c r="BW42" s="373"/>
    </row>
    <row r="43" spans="1:75" ht="17">
      <c r="A43" s="762" t="s">
        <v>379</v>
      </c>
      <c r="B43" s="725">
        <f>SUM(B40:B42)</f>
        <v>98.608540000000005</v>
      </c>
      <c r="C43" s="762"/>
      <c r="D43" s="762"/>
      <c r="E43" s="725">
        <f>SUM(E40:E42)</f>
        <v>99.194833333333335</v>
      </c>
      <c r="F43" s="762"/>
      <c r="G43" s="762"/>
      <c r="H43" s="725">
        <f>SUM(H40:H42)</f>
        <v>99.691099999999992</v>
      </c>
      <c r="K43" s="725"/>
      <c r="L43" s="762"/>
      <c r="M43" s="762"/>
      <c r="N43" s="762"/>
      <c r="O43" s="762"/>
      <c r="P43" s="762"/>
      <c r="Q43" s="762"/>
      <c r="R43" s="762"/>
      <c r="S43" s="762"/>
      <c r="AL43" s="309" t="s">
        <v>36</v>
      </c>
      <c r="AM43" s="310">
        <v>54.3</v>
      </c>
      <c r="AN43" s="311">
        <v>2646</v>
      </c>
      <c r="AO43" s="311">
        <v>1933</v>
      </c>
      <c r="AP43" s="311">
        <v>184300</v>
      </c>
      <c r="AQ43" s="311">
        <v>506</v>
      </c>
      <c r="AR43" s="372">
        <v>10770</v>
      </c>
      <c r="AS43" s="311">
        <v>10770</v>
      </c>
      <c r="AT43" s="311">
        <v>131</v>
      </c>
      <c r="AU43" s="311">
        <v>323</v>
      </c>
      <c r="AV43" s="311">
        <v>323</v>
      </c>
      <c r="AW43" s="310">
        <v>9.7100000000000009</v>
      </c>
      <c r="AX43" s="310">
        <v>9.7100000000000009</v>
      </c>
      <c r="AY43" s="310">
        <v>32.6</v>
      </c>
      <c r="AZ43" s="310">
        <v>32.6</v>
      </c>
      <c r="BA43" s="310">
        <v>1.81</v>
      </c>
      <c r="BB43" s="310">
        <v>0.92800000000000005</v>
      </c>
      <c r="BC43" s="310">
        <v>0.92800000000000005</v>
      </c>
      <c r="BD43" s="310">
        <v>0.68300000000000005</v>
      </c>
      <c r="BE43" s="310">
        <v>0.14000000000000001</v>
      </c>
      <c r="BF43" s="310">
        <v>0.55600000000000005</v>
      </c>
      <c r="BG43" s="310">
        <v>0.19700000000000001</v>
      </c>
      <c r="BH43" s="310">
        <v>0.55600000000000005</v>
      </c>
      <c r="BI43" s="310">
        <v>1.68</v>
      </c>
      <c r="BJ43" s="310">
        <v>0.13300000000000001</v>
      </c>
      <c r="BK43" s="310">
        <v>9.0300000000000005E-2</v>
      </c>
      <c r="BL43" s="310">
        <v>3.95E-2</v>
      </c>
      <c r="BM43" s="310">
        <v>0.50600000000000001</v>
      </c>
      <c r="BN43" s="310">
        <v>0.48</v>
      </c>
      <c r="BO43" s="310">
        <v>0.98199999999999998</v>
      </c>
      <c r="BP43" s="310">
        <v>0.14799999999999999</v>
      </c>
      <c r="BQ43" s="310">
        <v>2.5299999999999998</v>
      </c>
      <c r="BR43" s="310">
        <v>0.111</v>
      </c>
      <c r="BS43" s="307"/>
      <c r="BT43" s="307"/>
      <c r="BU43" s="307"/>
      <c r="BV43" s="307"/>
      <c r="BW43" s="307"/>
    </row>
    <row r="44" spans="1:75" ht="17">
      <c r="AL44" s="309" t="s">
        <v>1399</v>
      </c>
      <c r="AM44" s="310">
        <v>3.4749668058207651E-2</v>
      </c>
      <c r="AN44" s="310">
        <v>0.41320750170457782</v>
      </c>
      <c r="AO44" s="310">
        <v>0.24881945352393822</v>
      </c>
      <c r="AP44" s="310">
        <v>74.594712675116625</v>
      </c>
      <c r="AQ44" s="310">
        <v>0.411456399970416</v>
      </c>
      <c r="AR44" s="371">
        <v>3.934448773102079</v>
      </c>
      <c r="AS44" s="310">
        <v>20.712686134429767</v>
      </c>
      <c r="AT44" s="310">
        <v>5.7271706772973253E-2</v>
      </c>
      <c r="AU44" s="792">
        <v>0.23902960265661838</v>
      </c>
      <c r="AV44" s="310">
        <v>0.7737898298773167</v>
      </c>
      <c r="AW44" s="792">
        <v>1.5934766119485144E-2</v>
      </c>
      <c r="AX44" s="310">
        <v>4.4695228356663126E-2</v>
      </c>
      <c r="AY44" s="792">
        <v>0.70211551235583181</v>
      </c>
      <c r="AZ44" s="310">
        <v>1.1110289399705342</v>
      </c>
      <c r="BA44" s="310">
        <v>0.16736804324186605</v>
      </c>
      <c r="BB44" s="792">
        <v>8.6985319957646703E-2</v>
      </c>
      <c r="BC44" s="310">
        <v>0.13526752029337463</v>
      </c>
      <c r="BD44" s="310"/>
      <c r="BE44" s="310">
        <v>4.995212300961064E-3</v>
      </c>
      <c r="BF44" s="310">
        <v>3.7452865651329726E-3</v>
      </c>
      <c r="BG44" s="310">
        <v>2.4818522074733028E-2</v>
      </c>
      <c r="BH44" s="310">
        <v>3.0529975006147914E-3</v>
      </c>
      <c r="BI44" s="310">
        <v>5.8891569332825675E-2</v>
      </c>
      <c r="BJ44" s="310">
        <v>3.4560845613938108E-2</v>
      </c>
      <c r="BK44" s="310">
        <v>1.1044809360862957E-2</v>
      </c>
      <c r="BL44" s="310">
        <v>3.4003784337114239E-3</v>
      </c>
      <c r="BM44" s="310"/>
      <c r="BN44" s="310"/>
      <c r="BO44" s="310">
        <v>8.9187753783330718E-3</v>
      </c>
      <c r="BP44" s="310">
        <v>2.2043954701019143E-2</v>
      </c>
      <c r="BQ44" s="310">
        <v>1.6157020634536574E-2</v>
      </c>
      <c r="BR44" s="310">
        <v>1.1245798803216991E-2</v>
      </c>
      <c r="BS44" s="307"/>
      <c r="BT44" s="307"/>
      <c r="BU44" s="307"/>
      <c r="BV44" s="307"/>
      <c r="BW44" s="307"/>
    </row>
    <row r="45" spans="1:75" ht="18" thickBot="1">
      <c r="B45" s="1375" t="s">
        <v>483</v>
      </c>
      <c r="C45" s="1405">
        <f>(B42/32.06)/((B42/32.06)+(B41/58.69)+(B40/55.847))</f>
        <v>0.43316566427535041</v>
      </c>
      <c r="D45" s="1399" t="s">
        <v>1413</v>
      </c>
      <c r="E45" s="1402">
        <f>2*(C45^2)*SQRT(((((C42*32.06)/ B42^2)^2)*((B40/55.845)^2 + (B41/58.693)^2)^2) + (((C40/55.845)^2 + (C41/58.693)^2)*(32.06/B42)^2))</f>
        <v>7.0662301298768989E-3</v>
      </c>
      <c r="AL45" s="797" t="s">
        <v>1401</v>
      </c>
      <c r="AM45" s="798">
        <v>3.1263723008474811E-2</v>
      </c>
      <c r="AN45" s="798">
        <v>0.39883293653589558</v>
      </c>
      <c r="AO45" s="798">
        <v>0.24698547960537567</v>
      </c>
      <c r="AP45" s="798">
        <v>64.615525559817542</v>
      </c>
      <c r="AQ45" s="798">
        <v>0.38740212797577822</v>
      </c>
      <c r="AR45" s="799">
        <v>3.8395666335976655</v>
      </c>
      <c r="AS45" s="798">
        <v>24.154580910741238</v>
      </c>
      <c r="AT45" s="798">
        <v>5.8548682233869172E-2</v>
      </c>
      <c r="AU45" s="798">
        <v>0.20310799957094719</v>
      </c>
      <c r="AV45" s="798">
        <v>0.8359132882712651</v>
      </c>
      <c r="AW45" s="798">
        <v>1.5157925544806819E-2</v>
      </c>
      <c r="AX45" s="798">
        <v>4.0474368965369392E-2</v>
      </c>
      <c r="AY45" s="798">
        <v>0.67920706148352794</v>
      </c>
      <c r="AZ45" s="798">
        <v>1.096978197773252</v>
      </c>
      <c r="BA45" s="798">
        <v>0.14634665185419155</v>
      </c>
      <c r="BB45" s="798">
        <v>8.5583695889157277E-2</v>
      </c>
      <c r="BC45" s="798">
        <v>0.12664443431529976</v>
      </c>
      <c r="BD45" s="798"/>
      <c r="BE45" s="798">
        <v>2.0516217582972947E-3</v>
      </c>
      <c r="BF45" s="798">
        <v>4.2778709118000179E-3</v>
      </c>
      <c r="BG45" s="798">
        <v>1.8257149656915592E-2</v>
      </c>
      <c r="BH45" s="798">
        <v>2.0539419152389277E-3</v>
      </c>
      <c r="BI45" s="798">
        <v>5.3041464595624081E-2</v>
      </c>
      <c r="BJ45" s="798">
        <v>2.9645247079875352E-2</v>
      </c>
      <c r="BK45" s="798">
        <v>9.2139840297256661E-3</v>
      </c>
      <c r="BL45" s="798">
        <v>2.6097786455596319E-3</v>
      </c>
      <c r="BM45" s="798"/>
      <c r="BN45" s="798"/>
      <c r="BO45" s="798">
        <v>5.7708372223327876E-3</v>
      </c>
      <c r="BP45" s="798">
        <v>2.1468978317618428E-2</v>
      </c>
      <c r="BQ45" s="798">
        <v>1.6533609297606121E-2</v>
      </c>
      <c r="BR45" s="798">
        <v>1.3034654438844702E-2</v>
      </c>
      <c r="BS45" s="307"/>
      <c r="BT45" s="307"/>
      <c r="BU45" s="307"/>
      <c r="BV45" s="307"/>
      <c r="BW45" s="307"/>
    </row>
    <row r="46" spans="1:75" ht="17">
      <c r="B46" s="1399" t="s">
        <v>1404</v>
      </c>
      <c r="C46" s="1405">
        <f>((B42-C42)/32.06)/(((B42-C42)/32.06)+((B41+C41)/58.69)+((B40+C40)/55.847))</f>
        <v>0.42626037700394903</v>
      </c>
      <c r="D46" s="1401" t="s">
        <v>1414</v>
      </c>
      <c r="E46" s="1402">
        <f>C45-C46</f>
        <v>6.9052872714013835E-3</v>
      </c>
      <c r="AL46" s="335" t="s">
        <v>1125</v>
      </c>
      <c r="AM46" s="479" t="s">
        <v>55</v>
      </c>
      <c r="AN46" s="332">
        <v>51.326592248683554</v>
      </c>
      <c r="AO46" s="331" t="s">
        <v>1002</v>
      </c>
      <c r="AP46" s="332">
        <v>2660316.0944635198</v>
      </c>
      <c r="AQ46" s="332">
        <v>4721.9974049049133</v>
      </c>
      <c r="AR46" s="334">
        <v>55500</v>
      </c>
      <c r="AS46" s="332">
        <v>91209.752146811195</v>
      </c>
      <c r="AT46" s="332">
        <v>173.70381706394562</v>
      </c>
      <c r="AU46" s="331" t="s">
        <v>1051</v>
      </c>
      <c r="AV46" s="331" t="s">
        <v>1124</v>
      </c>
      <c r="AW46" s="332">
        <v>58.802204808050256</v>
      </c>
      <c r="AX46" s="332">
        <v>65.484374935217389</v>
      </c>
      <c r="AY46" s="332">
        <v>229.60005086828372</v>
      </c>
      <c r="AZ46" s="332">
        <v>192.17488082869929</v>
      </c>
      <c r="BA46" s="330">
        <v>4.9476276340482732</v>
      </c>
      <c r="BB46" s="330">
        <v>5.1791262115704439</v>
      </c>
      <c r="BC46" s="333">
        <v>7.468429670881072</v>
      </c>
      <c r="BD46" s="332"/>
      <c r="BE46" s="333">
        <v>1.9576621589526539</v>
      </c>
      <c r="BF46" s="333">
        <v>0.54131108394676131</v>
      </c>
      <c r="BG46" s="331" t="s">
        <v>600</v>
      </c>
      <c r="BH46" s="333">
        <v>0.22641967281053463</v>
      </c>
      <c r="BI46" s="331" t="s">
        <v>942</v>
      </c>
      <c r="BJ46" s="331" t="s">
        <v>290</v>
      </c>
      <c r="BK46" s="333">
        <v>3.0575911712986232</v>
      </c>
      <c r="BL46" s="333">
        <v>1.1930279289899783</v>
      </c>
      <c r="BM46" s="333"/>
      <c r="BN46" s="332"/>
      <c r="BO46" s="332">
        <v>29.983549384669505</v>
      </c>
      <c r="BP46" s="330">
        <v>0.4722674350360288</v>
      </c>
      <c r="BQ46" s="331" t="s">
        <v>113</v>
      </c>
      <c r="BR46" s="331" t="s">
        <v>279</v>
      </c>
      <c r="BS46" s="327"/>
      <c r="BT46" s="329">
        <v>46.1670017242432</v>
      </c>
      <c r="BU46" s="328">
        <v>0.98776032690493321</v>
      </c>
      <c r="BV46" s="327"/>
      <c r="BW46" s="326" t="s">
        <v>1123</v>
      </c>
    </row>
    <row r="47" spans="1:75" ht="18" thickBot="1">
      <c r="B47" s="1399" t="s">
        <v>1403</v>
      </c>
      <c r="C47" s="1405">
        <f>((B42+C42)/32.06)/(((B42+C42)/32.06)+((B41-C41)/58.69)+((B40-C40)/55.847))</f>
        <v>0.44014457780675265</v>
      </c>
      <c r="D47" s="1401" t="s">
        <v>1415</v>
      </c>
      <c r="E47" s="1402">
        <f>C47-C45</f>
        <v>6.978913531402231E-3</v>
      </c>
      <c r="AL47" s="325" t="s">
        <v>1122</v>
      </c>
      <c r="AM47" s="482" t="s">
        <v>402</v>
      </c>
      <c r="AN47" s="321">
        <v>42.859094471376956</v>
      </c>
      <c r="AO47" s="323" t="s">
        <v>1121</v>
      </c>
      <c r="AP47" s="321">
        <v>2560724.2872108477</v>
      </c>
      <c r="AQ47" s="321">
        <v>4675.9001848456573</v>
      </c>
      <c r="AR47" s="324">
        <v>55500</v>
      </c>
      <c r="AS47" s="321">
        <v>87181.491317294582</v>
      </c>
      <c r="AT47" s="321">
        <v>155.44766442121366</v>
      </c>
      <c r="AU47" s="323" t="s">
        <v>1120</v>
      </c>
      <c r="AV47" s="323" t="s">
        <v>1119</v>
      </c>
      <c r="AW47" s="321">
        <v>58.575801611221046</v>
      </c>
      <c r="AX47" s="321">
        <v>66.224588628135749</v>
      </c>
      <c r="AY47" s="321">
        <v>220.3575588675802</v>
      </c>
      <c r="AZ47" s="321">
        <v>200.93233380767634</v>
      </c>
      <c r="BA47" s="320">
        <v>5.6784311862648558</v>
      </c>
      <c r="BB47" s="320">
        <v>5.292568391715065</v>
      </c>
      <c r="BC47" s="322">
        <v>6.0122221541191951</v>
      </c>
      <c r="BD47" s="321"/>
      <c r="BE47" s="322">
        <v>1.7331166113940775</v>
      </c>
      <c r="BF47" s="322">
        <v>0.31001070722816948</v>
      </c>
      <c r="BG47" s="323" t="s">
        <v>290</v>
      </c>
      <c r="BH47" s="322">
        <v>0.19596889928218836</v>
      </c>
      <c r="BI47" s="323" t="s">
        <v>501</v>
      </c>
      <c r="BJ47" s="323" t="s">
        <v>116</v>
      </c>
      <c r="BK47" s="322">
        <v>3.0612799028836548</v>
      </c>
      <c r="BL47" s="322">
        <v>1.1220788796987047</v>
      </c>
      <c r="BM47" s="322"/>
      <c r="BN47" s="321"/>
      <c r="BO47" s="321">
        <v>29.014252162063539</v>
      </c>
      <c r="BP47" s="320">
        <v>0.47956821859060783</v>
      </c>
      <c r="BQ47" s="323" t="s">
        <v>156</v>
      </c>
      <c r="BR47" s="323" t="s">
        <v>180</v>
      </c>
      <c r="BS47" s="317"/>
      <c r="BT47" s="319">
        <v>44.130001068115298</v>
      </c>
      <c r="BU47" s="318">
        <v>1.1404543573975152</v>
      </c>
      <c r="BV47" s="317"/>
      <c r="BW47" s="316" t="s">
        <v>941</v>
      </c>
    </row>
    <row r="48" spans="1:75" ht="17">
      <c r="AL48" s="315" t="s">
        <v>43</v>
      </c>
      <c r="AM48" s="339">
        <v>426.69699722602542</v>
      </c>
      <c r="AN48" s="339">
        <v>392.20106125749135</v>
      </c>
      <c r="AO48" s="339">
        <v>420.98440465810921</v>
      </c>
      <c r="AP48" s="453" t="s">
        <v>1118</v>
      </c>
      <c r="AQ48" s="339">
        <v>393.67864235125171</v>
      </c>
      <c r="AR48" s="342">
        <v>459</v>
      </c>
      <c r="AS48" s="453" t="s">
        <v>1117</v>
      </c>
      <c r="AT48" s="339">
        <v>426.35769079715658</v>
      </c>
      <c r="AU48" s="339">
        <v>444.65581864534289</v>
      </c>
      <c r="AV48" s="339">
        <v>452.66563260206942</v>
      </c>
      <c r="AW48" s="339">
        <v>427.14202120088396</v>
      </c>
      <c r="AX48" s="339">
        <v>417.23903542817999</v>
      </c>
      <c r="AY48" s="339">
        <v>425.57564566320775</v>
      </c>
      <c r="AZ48" s="339">
        <v>418.63842335109661</v>
      </c>
      <c r="BA48" s="339">
        <v>310.6511167366379</v>
      </c>
      <c r="BB48" s="339">
        <v>402.03056290841181</v>
      </c>
      <c r="BC48" s="339">
        <v>404.10054606599954</v>
      </c>
      <c r="BD48" s="453"/>
      <c r="BE48" s="340">
        <v>1.278336450050799</v>
      </c>
      <c r="BF48" s="340">
        <v>1.0844328609309053</v>
      </c>
      <c r="BG48" s="339">
        <v>249.82389568907422</v>
      </c>
      <c r="BH48" s="340">
        <v>1.1038716008491598</v>
      </c>
      <c r="BI48" s="339">
        <v>416.38273475779761</v>
      </c>
      <c r="BJ48" s="339">
        <v>376.75577465590192</v>
      </c>
      <c r="BK48" s="339">
        <v>427.36345297103117</v>
      </c>
      <c r="BL48" s="339">
        <v>47.405462951452733</v>
      </c>
      <c r="BM48" s="338"/>
      <c r="BN48" s="338"/>
      <c r="BO48" s="340">
        <v>3.2148697445015322</v>
      </c>
      <c r="BP48" s="339">
        <v>22.630749135409868</v>
      </c>
      <c r="BQ48" s="339">
        <v>411.12295876700199</v>
      </c>
      <c r="BR48" s="339">
        <v>346.71976185037113</v>
      </c>
      <c r="BS48" s="336"/>
      <c r="BT48" s="313">
        <v>44.809001922607393</v>
      </c>
      <c r="BU48" s="337">
        <v>2.2866267223564387</v>
      </c>
      <c r="BV48" s="336"/>
      <c r="BW48" s="336" t="s">
        <v>1054</v>
      </c>
    </row>
    <row r="49" spans="38:75" ht="18" thickBot="1">
      <c r="AL49" s="315" t="s">
        <v>45</v>
      </c>
      <c r="AM49" s="339">
        <v>473.77895039956752</v>
      </c>
      <c r="AN49" s="339">
        <v>424.20416950153901</v>
      </c>
      <c r="AO49" s="339">
        <v>467.40248111561982</v>
      </c>
      <c r="AP49" s="453" t="s">
        <v>1116</v>
      </c>
      <c r="AQ49" s="339">
        <v>426.83660749192279</v>
      </c>
      <c r="AR49" s="342">
        <v>459</v>
      </c>
      <c r="AS49" s="453" t="s">
        <v>1115</v>
      </c>
      <c r="AT49" s="339">
        <v>456.14332279845991</v>
      </c>
      <c r="AU49" s="339">
        <v>475.91628519567234</v>
      </c>
      <c r="AV49" s="339">
        <v>467.91549273446475</v>
      </c>
      <c r="AW49" s="339">
        <v>439.40532272827687</v>
      </c>
      <c r="AX49" s="339">
        <v>449.27427144565513</v>
      </c>
      <c r="AY49" s="339">
        <v>468.86354085408294</v>
      </c>
      <c r="AZ49" s="339">
        <v>475.739312208559</v>
      </c>
      <c r="BA49" s="339">
        <v>339.69111119580464</v>
      </c>
      <c r="BB49" s="339">
        <v>432.41173368651573</v>
      </c>
      <c r="BC49" s="339">
        <v>430.32924030866593</v>
      </c>
      <c r="BD49" s="339"/>
      <c r="BE49" s="340">
        <v>1.303304055727337</v>
      </c>
      <c r="BF49" s="340">
        <v>1.0169121383780191</v>
      </c>
      <c r="BG49" s="339">
        <v>252.4884207846205</v>
      </c>
      <c r="BH49" s="340">
        <v>0.99810897829805401</v>
      </c>
      <c r="BI49" s="339">
        <v>444.02516733616318</v>
      </c>
      <c r="BJ49" s="339">
        <v>415.53771858524209</v>
      </c>
      <c r="BK49" s="339">
        <v>461.10006550024718</v>
      </c>
      <c r="BL49" s="339">
        <v>50.647718621190677</v>
      </c>
      <c r="BM49" s="338"/>
      <c r="BN49" s="338"/>
      <c r="BO49" s="340">
        <v>3.0903474730198317</v>
      </c>
      <c r="BP49" s="339">
        <v>21.597434379991782</v>
      </c>
      <c r="BQ49" s="339">
        <v>441.38526969657966</v>
      </c>
      <c r="BR49" s="339">
        <v>369.15816492887518</v>
      </c>
      <c r="BS49" s="336"/>
      <c r="BT49" s="313">
        <v>43.451002120971694</v>
      </c>
      <c r="BU49" s="337">
        <v>2.110206235600101</v>
      </c>
      <c r="BV49" s="336"/>
      <c r="BW49" s="336" t="s">
        <v>1114</v>
      </c>
    </row>
    <row r="50" spans="38:75" ht="17">
      <c r="AL50" s="1278" t="s">
        <v>1113</v>
      </c>
      <c r="AM50" s="1279" t="s">
        <v>202</v>
      </c>
      <c r="AN50" s="1279" t="s">
        <v>1112</v>
      </c>
      <c r="AO50" s="1279" t="s">
        <v>1111</v>
      </c>
      <c r="AP50" s="1280">
        <v>1361481.1594370306</v>
      </c>
      <c r="AQ50" s="1280">
        <v>1100.0300897259569</v>
      </c>
      <c r="AR50" s="1281">
        <v>456400</v>
      </c>
      <c r="AS50" s="1280">
        <v>848890.73876667605</v>
      </c>
      <c r="AT50" s="1280">
        <v>346.71699010891973</v>
      </c>
      <c r="AU50" s="1280">
        <v>50.447082768972336</v>
      </c>
      <c r="AV50" s="1280">
        <v>45.659456060190671</v>
      </c>
      <c r="AW50" s="1280">
        <v>127.46618936119692</v>
      </c>
      <c r="AX50" s="1280">
        <v>150.12074697855067</v>
      </c>
      <c r="AY50" s="1280">
        <v>353.76244303081216</v>
      </c>
      <c r="AZ50" s="1280">
        <v>310.94230854411552</v>
      </c>
      <c r="BA50" s="1280">
        <v>347.09210456490365</v>
      </c>
      <c r="BB50" s="1280">
        <v>211.77347778442555</v>
      </c>
      <c r="BC50" s="1280">
        <v>208.82758434753018</v>
      </c>
      <c r="BD50" s="1280"/>
      <c r="BE50" s="1280">
        <v>239.65747277845799</v>
      </c>
      <c r="BF50" s="1280">
        <v>38.179864259328397</v>
      </c>
      <c r="BG50" s="1282">
        <v>0.65371602153203412</v>
      </c>
      <c r="BH50" s="1280">
        <v>23.500135582742789</v>
      </c>
      <c r="BI50" s="1280">
        <v>462.70370225552699</v>
      </c>
      <c r="BJ50" s="1280">
        <v>222.52125004301359</v>
      </c>
      <c r="BK50" s="1280">
        <v>116.84449063248175</v>
      </c>
      <c r="BL50" s="1280">
        <v>34.337827333340144</v>
      </c>
      <c r="BM50" s="1280"/>
      <c r="BN50" s="1280"/>
      <c r="BO50" s="1280">
        <v>168.63690694754044</v>
      </c>
      <c r="BP50" s="1280">
        <v>256.77231322507873</v>
      </c>
      <c r="BQ50" s="1279" t="s">
        <v>139</v>
      </c>
      <c r="BR50" s="1279" t="s">
        <v>116</v>
      </c>
      <c r="BS50" s="1283"/>
      <c r="BT50" s="1284">
        <v>45.488000869750998</v>
      </c>
      <c r="BU50" s="1285">
        <v>0.7948941142993462</v>
      </c>
      <c r="BV50" s="1283"/>
      <c r="BW50" s="1286" t="s">
        <v>1110</v>
      </c>
    </row>
    <row r="51" spans="38:75" ht="17">
      <c r="AL51" s="1287" t="s">
        <v>1109</v>
      </c>
      <c r="AM51" s="997" t="s">
        <v>135</v>
      </c>
      <c r="AN51" s="998" t="s">
        <v>1108</v>
      </c>
      <c r="AO51" s="998" t="s">
        <v>1107</v>
      </c>
      <c r="AP51" s="991">
        <v>1288087.843787774</v>
      </c>
      <c r="AQ51" s="991">
        <v>1009.0199133708843</v>
      </c>
      <c r="AR51" s="1004">
        <v>456400</v>
      </c>
      <c r="AS51" s="991">
        <v>822973.70345627924</v>
      </c>
      <c r="AT51" s="991">
        <v>312.37510802863051</v>
      </c>
      <c r="AU51" s="991">
        <v>100.79116237636853</v>
      </c>
      <c r="AV51" s="991">
        <v>82.744690316573184</v>
      </c>
      <c r="AW51" s="991">
        <v>115.99994498042058</v>
      </c>
      <c r="AX51" s="991">
        <v>129.79266824269649</v>
      </c>
      <c r="AY51" s="991">
        <v>159.92457858554752</v>
      </c>
      <c r="AZ51" s="991">
        <v>145.96923389143794</v>
      </c>
      <c r="BA51" s="991">
        <v>290.71851412635391</v>
      </c>
      <c r="BB51" s="991">
        <v>214.42205071828968</v>
      </c>
      <c r="BC51" s="991">
        <v>204.19711311724956</v>
      </c>
      <c r="BD51" s="991"/>
      <c r="BE51" s="991">
        <v>158.71809136440763</v>
      </c>
      <c r="BF51" s="991">
        <v>38.197148114421509</v>
      </c>
      <c r="BG51" s="990">
        <v>0.51832779246968419</v>
      </c>
      <c r="BH51" s="991">
        <v>23.167688609386442</v>
      </c>
      <c r="BI51" s="991">
        <v>440.56287884607241</v>
      </c>
      <c r="BJ51" s="991">
        <v>204.36796992778659</v>
      </c>
      <c r="BK51" s="991">
        <v>106.1089107029492</v>
      </c>
      <c r="BL51" s="1002">
        <v>2.2325959307351377</v>
      </c>
      <c r="BM51" s="991"/>
      <c r="BN51" s="991"/>
      <c r="BO51" s="991">
        <v>60.01973812808901</v>
      </c>
      <c r="BP51" s="991">
        <v>232.08694763107374</v>
      </c>
      <c r="BQ51" s="989" t="s">
        <v>402</v>
      </c>
      <c r="BR51" s="989" t="s">
        <v>141</v>
      </c>
      <c r="BS51" s="994"/>
      <c r="BT51" s="995">
        <v>45.488000869750998</v>
      </c>
      <c r="BU51" s="996">
        <v>0.77693715641386563</v>
      </c>
      <c r="BV51" s="994"/>
      <c r="BW51" s="1288" t="s">
        <v>1106</v>
      </c>
    </row>
    <row r="52" spans="38:75" ht="17">
      <c r="AL52" s="1287" t="s">
        <v>1105</v>
      </c>
      <c r="AM52" s="997" t="s">
        <v>600</v>
      </c>
      <c r="AN52" s="998" t="s">
        <v>1104</v>
      </c>
      <c r="AO52" s="998" t="s">
        <v>1103</v>
      </c>
      <c r="AP52" s="991">
        <v>1371811.7978344797</v>
      </c>
      <c r="AQ52" s="991">
        <v>990.90426542360331</v>
      </c>
      <c r="AR52" s="1004">
        <v>456400</v>
      </c>
      <c r="AS52" s="991">
        <v>787373.72656943509</v>
      </c>
      <c r="AT52" s="991">
        <v>291.20043364360419</v>
      </c>
      <c r="AU52" s="991">
        <v>60.664374677173043</v>
      </c>
      <c r="AV52" s="991">
        <v>53.969223896700527</v>
      </c>
      <c r="AW52" s="991">
        <v>120.20097447501905</v>
      </c>
      <c r="AX52" s="991">
        <v>126.5688499321849</v>
      </c>
      <c r="AY52" s="991">
        <v>234.35181914839649</v>
      </c>
      <c r="AZ52" s="991">
        <v>199.51031751269957</v>
      </c>
      <c r="BA52" s="991">
        <v>325.88004027365469</v>
      </c>
      <c r="BB52" s="991">
        <v>205.50550430606106</v>
      </c>
      <c r="BC52" s="991">
        <v>203.31642313449834</v>
      </c>
      <c r="BD52" s="991"/>
      <c r="BE52" s="991">
        <v>216.8598806887953</v>
      </c>
      <c r="BF52" s="991">
        <v>35.345252924423185</v>
      </c>
      <c r="BG52" s="990">
        <v>0.43115817444307097</v>
      </c>
      <c r="BH52" s="991">
        <v>22.393366357274257</v>
      </c>
      <c r="BI52" s="991">
        <v>407.08170269093932</v>
      </c>
      <c r="BJ52" s="991">
        <v>190.22200191073367</v>
      </c>
      <c r="BK52" s="991">
        <v>114.91346471629035</v>
      </c>
      <c r="BL52" s="991">
        <v>33.242750269224793</v>
      </c>
      <c r="BM52" s="991"/>
      <c r="BN52" s="991"/>
      <c r="BO52" s="991">
        <v>96.783986709989776</v>
      </c>
      <c r="BP52" s="991">
        <v>245.43145379834701</v>
      </c>
      <c r="BQ52" s="989" t="s">
        <v>160</v>
      </c>
      <c r="BR52" s="989" t="s">
        <v>125</v>
      </c>
      <c r="BS52" s="994"/>
      <c r="BT52" s="995">
        <v>42.771999359130895</v>
      </c>
      <c r="BU52" s="996">
        <v>0.77061646209631995</v>
      </c>
      <c r="BV52" s="994"/>
      <c r="BW52" s="1288" t="s">
        <v>1102</v>
      </c>
    </row>
    <row r="53" spans="38:75" ht="17">
      <c r="AL53" s="1287" t="s">
        <v>1101</v>
      </c>
      <c r="AM53" s="997" t="s">
        <v>117</v>
      </c>
      <c r="AN53" s="998" t="s">
        <v>1100</v>
      </c>
      <c r="AO53" s="998" t="s">
        <v>1099</v>
      </c>
      <c r="AP53" s="991">
        <v>1204502.647115889</v>
      </c>
      <c r="AQ53" s="991">
        <v>1045.546642483135</v>
      </c>
      <c r="AR53" s="1004">
        <v>456400</v>
      </c>
      <c r="AS53" s="991">
        <v>850582.9259649273</v>
      </c>
      <c r="AT53" s="991">
        <v>302.44231649224054</v>
      </c>
      <c r="AU53" s="991">
        <v>121.63442002257086</v>
      </c>
      <c r="AV53" s="991">
        <v>101.51131024319443</v>
      </c>
      <c r="AW53" s="991">
        <v>104.48447762559249</v>
      </c>
      <c r="AX53" s="991">
        <v>121.13046027255344</v>
      </c>
      <c r="AY53" s="991">
        <v>66.962747356778436</v>
      </c>
      <c r="AZ53" s="991">
        <v>56.109514444676087</v>
      </c>
      <c r="BA53" s="991">
        <v>264.86043344283843</v>
      </c>
      <c r="BB53" s="991">
        <v>217.9924917507586</v>
      </c>
      <c r="BC53" s="991">
        <v>215.83371594690502</v>
      </c>
      <c r="BD53" s="991"/>
      <c r="BE53" s="991">
        <v>78.692428471583185</v>
      </c>
      <c r="BF53" s="991">
        <v>33.14412391933552</v>
      </c>
      <c r="BG53" s="990">
        <v>0.54727946282886086</v>
      </c>
      <c r="BH53" s="991">
        <v>19.902519442486931</v>
      </c>
      <c r="BI53" s="991">
        <v>441.95158903328354</v>
      </c>
      <c r="BJ53" s="991">
        <v>202.88500384459152</v>
      </c>
      <c r="BK53" s="991">
        <v>78.804361742422287</v>
      </c>
      <c r="BL53" s="1002">
        <v>1.0958076843190239</v>
      </c>
      <c r="BM53" s="991"/>
      <c r="BN53" s="991"/>
      <c r="BO53" s="991">
        <v>49.144143816720515</v>
      </c>
      <c r="BP53" s="991">
        <v>172.38280177934638</v>
      </c>
      <c r="BQ53" s="989" t="s">
        <v>104</v>
      </c>
      <c r="BR53" s="990">
        <v>8.5384935116044156E-2</v>
      </c>
      <c r="BS53" s="994"/>
      <c r="BT53" s="995">
        <v>44.809001922607393</v>
      </c>
      <c r="BU53" s="996">
        <v>0.76887617530243646</v>
      </c>
      <c r="BV53" s="994"/>
      <c r="BW53" s="1288" t="s">
        <v>1098</v>
      </c>
    </row>
    <row r="54" spans="38:75" ht="17">
      <c r="AL54" s="1287" t="s">
        <v>1097</v>
      </c>
      <c r="AM54" s="997" t="s">
        <v>111</v>
      </c>
      <c r="AN54" s="997" t="s">
        <v>741</v>
      </c>
      <c r="AO54" s="991">
        <v>66.927749332135647</v>
      </c>
      <c r="AP54" s="991">
        <v>1461487.3685600916</v>
      </c>
      <c r="AQ54" s="991">
        <v>949.37215540480338</v>
      </c>
      <c r="AR54" s="1004">
        <v>456400</v>
      </c>
      <c r="AS54" s="991">
        <v>862526.16306119296</v>
      </c>
      <c r="AT54" s="991">
        <v>621.17675137884476</v>
      </c>
      <c r="AU54" s="991">
        <v>122.46860359660424</v>
      </c>
      <c r="AV54" s="991">
        <v>95.797540741006074</v>
      </c>
      <c r="AW54" s="991">
        <v>98.819072784350624</v>
      </c>
      <c r="AX54" s="991">
        <v>109.43343763779278</v>
      </c>
      <c r="AY54" s="991">
        <v>359.98609843536241</v>
      </c>
      <c r="AZ54" s="991">
        <v>338.36866195369163</v>
      </c>
      <c r="BA54" s="991">
        <v>249.44933189911981</v>
      </c>
      <c r="BB54" s="991">
        <v>218.07602769645331</v>
      </c>
      <c r="BC54" s="991">
        <v>211.77433763851681</v>
      </c>
      <c r="BD54" s="991"/>
      <c r="BE54" s="991">
        <v>148.41030731132565</v>
      </c>
      <c r="BF54" s="991">
        <v>35.747179586473216</v>
      </c>
      <c r="BG54" s="991">
        <v>63.218006030818877</v>
      </c>
      <c r="BH54" s="991">
        <v>21.829788776029343</v>
      </c>
      <c r="BI54" s="991">
        <v>379.84930731534115</v>
      </c>
      <c r="BJ54" s="991">
        <v>221.12625384995488</v>
      </c>
      <c r="BK54" s="991">
        <v>72.307130999787589</v>
      </c>
      <c r="BL54" s="1002">
        <v>4.5347709162658427</v>
      </c>
      <c r="BM54" s="991"/>
      <c r="BN54" s="1002"/>
      <c r="BO54" s="991">
        <v>75.689510562413332</v>
      </c>
      <c r="BP54" s="991">
        <v>184.0752869151622</v>
      </c>
      <c r="BQ54" s="991">
        <v>153.05388608893634</v>
      </c>
      <c r="BR54" s="991">
        <v>187.65652734384091</v>
      </c>
      <c r="BS54" s="994"/>
      <c r="BT54" s="995">
        <v>46.1670017242432</v>
      </c>
      <c r="BU54" s="996">
        <v>0.79637097078490116</v>
      </c>
      <c r="BV54" s="994"/>
      <c r="BW54" s="1288" t="s">
        <v>1096</v>
      </c>
    </row>
    <row r="55" spans="38:75" ht="17">
      <c r="AL55" s="1156" t="s">
        <v>1095</v>
      </c>
      <c r="AM55" s="1159">
        <v>1.027166041544278</v>
      </c>
      <c r="AN55" s="1157">
        <v>11.670318105637008</v>
      </c>
      <c r="AO55" s="1157">
        <v>1060.4811386638182</v>
      </c>
      <c r="AP55" s="1157">
        <v>1587896.045517457</v>
      </c>
      <c r="AQ55" s="1157">
        <v>128.71575188311587</v>
      </c>
      <c r="AR55" s="1158">
        <v>23000</v>
      </c>
      <c r="AS55" s="1157">
        <v>43727.375488720681</v>
      </c>
      <c r="AT55" s="1157">
        <v>266.83055145823403</v>
      </c>
      <c r="AU55" s="1157">
        <v>85.82953809818784</v>
      </c>
      <c r="AV55" s="1157">
        <v>67.094556517229194</v>
      </c>
      <c r="AW55" s="1162">
        <v>1.8346355484302919E-2</v>
      </c>
      <c r="AX55" s="1160" t="s">
        <v>120</v>
      </c>
      <c r="AY55" s="1157">
        <v>13.151238924876179</v>
      </c>
      <c r="AZ55" s="1160" t="s">
        <v>1094</v>
      </c>
      <c r="BA55" s="1161" t="s">
        <v>129</v>
      </c>
      <c r="BB55" s="1157">
        <v>306.55157839136172</v>
      </c>
      <c r="BC55" s="1157">
        <v>296.78462681407314</v>
      </c>
      <c r="BD55" s="1162"/>
      <c r="BE55" s="1162">
        <v>5.671886565860447E-2</v>
      </c>
      <c r="BF55" s="1162">
        <v>3.1669679797313166E-2</v>
      </c>
      <c r="BG55" s="1162">
        <v>2.5580680380017387</v>
      </c>
      <c r="BH55" s="1162">
        <v>1.5925698121065951E-2</v>
      </c>
      <c r="BI55" s="1160" t="s">
        <v>179</v>
      </c>
      <c r="BJ55" s="1160" t="s">
        <v>59</v>
      </c>
      <c r="BK55" s="1162">
        <v>0.51427280528034747</v>
      </c>
      <c r="BL55" s="1157"/>
      <c r="BM55" s="1157"/>
      <c r="BN55" s="1160"/>
      <c r="BO55" s="1160" t="s">
        <v>57</v>
      </c>
      <c r="BP55" s="1162">
        <v>0.27266136312828626</v>
      </c>
      <c r="BQ55" s="1162">
        <v>0.16199291792918172</v>
      </c>
      <c r="BR55" s="1162">
        <v>0.27161807098127277</v>
      </c>
      <c r="BS55" s="1163"/>
      <c r="BT55" s="1164">
        <v>44.130001068115298</v>
      </c>
      <c r="BU55" s="1165">
        <v>3.01608552007955</v>
      </c>
      <c r="BV55" s="1163"/>
      <c r="BW55" s="1166" t="s">
        <v>1093</v>
      </c>
    </row>
    <row r="56" spans="38:75" ht="17">
      <c r="AL56" s="1167" t="s">
        <v>1092</v>
      </c>
      <c r="AM56" s="1171">
        <v>1.8957171164472937</v>
      </c>
      <c r="AN56" s="1169">
        <v>11.790267230957163</v>
      </c>
      <c r="AO56" s="1169">
        <v>1039.8654567628403</v>
      </c>
      <c r="AP56" s="1169">
        <v>1477826.2969378312</v>
      </c>
      <c r="AQ56" s="1169">
        <v>128.37890083737437</v>
      </c>
      <c r="AR56" s="1170">
        <v>23000</v>
      </c>
      <c r="AS56" s="1169">
        <v>41572.073631387291</v>
      </c>
      <c r="AT56" s="1169">
        <v>239.21477299188695</v>
      </c>
      <c r="AU56" s="1169">
        <v>76.055417241014339</v>
      </c>
      <c r="AV56" s="1169">
        <v>68.668365876893631</v>
      </c>
      <c r="AW56" s="1172" t="s">
        <v>41</v>
      </c>
      <c r="AX56" s="1172" t="s">
        <v>167</v>
      </c>
      <c r="AY56" s="1169">
        <v>12.630574447638352</v>
      </c>
      <c r="AZ56" s="1172" t="s">
        <v>212</v>
      </c>
      <c r="BA56" s="1168">
        <v>0.24573299408915034</v>
      </c>
      <c r="BB56" s="1169">
        <v>292.37253688474533</v>
      </c>
      <c r="BC56" s="1169">
        <v>285.04605995505233</v>
      </c>
      <c r="BD56" s="1168"/>
      <c r="BE56" s="1168">
        <v>7.1828682728515308E-2</v>
      </c>
      <c r="BF56" s="1168">
        <v>3.8004865043840867E-2</v>
      </c>
      <c r="BG56" s="1168">
        <v>2.3296898954214971</v>
      </c>
      <c r="BH56" s="1168">
        <v>1.6527969565962818E-2</v>
      </c>
      <c r="BI56" s="1168">
        <v>0.18823637540192487</v>
      </c>
      <c r="BJ56" s="1168">
        <v>5.2190451494648661E-2</v>
      </c>
      <c r="BK56" s="1168">
        <v>0.47367849389766264</v>
      </c>
      <c r="BL56" s="1169"/>
      <c r="BM56" s="1172"/>
      <c r="BN56" s="1172"/>
      <c r="BO56" s="1169"/>
      <c r="BP56" s="1168">
        <v>0.2979695708604912</v>
      </c>
      <c r="BQ56" s="1168">
        <v>0.16346517595341784</v>
      </c>
      <c r="BR56" s="1168">
        <v>0.26181469942575042</v>
      </c>
      <c r="BS56" s="1175"/>
      <c r="BT56" s="1176">
        <v>46.166000366210994</v>
      </c>
      <c r="BU56" s="1177">
        <v>3.2134591837046793</v>
      </c>
      <c r="BV56" s="1175"/>
      <c r="BW56" s="1178" t="s">
        <v>1091</v>
      </c>
    </row>
    <row r="57" spans="38:75" ht="17">
      <c r="AL57" s="1167" t="s">
        <v>1090</v>
      </c>
      <c r="AM57" s="1171">
        <v>1.5520322344358681</v>
      </c>
      <c r="AN57" s="1169">
        <v>59.069872354396182</v>
      </c>
      <c r="AO57" s="1169">
        <v>1045.4075738475353</v>
      </c>
      <c r="AP57" s="1169">
        <v>1401948.8895065358</v>
      </c>
      <c r="AQ57" s="1169">
        <v>122.54025559052715</v>
      </c>
      <c r="AR57" s="1170">
        <v>23000</v>
      </c>
      <c r="AS57" s="1169">
        <v>40918.377015937906</v>
      </c>
      <c r="AT57" s="1169">
        <v>254.77305485195001</v>
      </c>
      <c r="AU57" s="1169">
        <v>78.489958951690298</v>
      </c>
      <c r="AV57" s="1169">
        <v>66.832012463290312</v>
      </c>
      <c r="AW57" s="1171">
        <v>2.0186971229919979</v>
      </c>
      <c r="AX57" s="1171">
        <v>2.6123034776027532</v>
      </c>
      <c r="AY57" s="1169">
        <v>13.849156110472522</v>
      </c>
      <c r="AZ57" s="1172" t="s">
        <v>1089</v>
      </c>
      <c r="BA57" s="1171">
        <v>1.020543566746658</v>
      </c>
      <c r="BB57" s="1169">
        <v>271.23520351096499</v>
      </c>
      <c r="BC57" s="1169">
        <v>252.92291746777533</v>
      </c>
      <c r="BD57" s="1168"/>
      <c r="BE57" s="1168">
        <v>0.16984360351415387</v>
      </c>
      <c r="BF57" s="1172" t="s">
        <v>41</v>
      </c>
      <c r="BG57" s="1168">
        <v>2.4977467055518465</v>
      </c>
      <c r="BH57" s="1168">
        <v>2.4788080830724271E-2</v>
      </c>
      <c r="BI57" s="1168">
        <v>0.65982104992809565</v>
      </c>
      <c r="BJ57" s="1168">
        <v>0.34488038891897721</v>
      </c>
      <c r="BK57" s="1171">
        <v>4.3517184201467236</v>
      </c>
      <c r="BL57" s="1174">
        <v>7.6100226941565267E-3</v>
      </c>
      <c r="BM57" s="1169"/>
      <c r="BN57" s="1172"/>
      <c r="BO57" s="1168">
        <v>2.1368515033158716E-2</v>
      </c>
      <c r="BP57" s="1168">
        <v>0.71262339628869231</v>
      </c>
      <c r="BQ57" s="1168">
        <v>0.43115283568061469</v>
      </c>
      <c r="BR57" s="1168">
        <v>0.56648902545187263</v>
      </c>
      <c r="BS57" s="1175"/>
      <c r="BT57" s="1176">
        <v>44.128999710082994</v>
      </c>
      <c r="BU57" s="1177">
        <v>1.5848489942608648</v>
      </c>
      <c r="BV57" s="1175"/>
      <c r="BW57" s="1178" t="s">
        <v>1088</v>
      </c>
    </row>
    <row r="58" spans="38:75" ht="18" thickBot="1">
      <c r="AL58" s="1179" t="s">
        <v>1087</v>
      </c>
      <c r="AM58" s="1180">
        <v>1.1964819585117032</v>
      </c>
      <c r="AN58" s="1182">
        <v>11.440166711782229</v>
      </c>
      <c r="AO58" s="1182">
        <v>1093.2562371215447</v>
      </c>
      <c r="AP58" s="1182">
        <v>1390055.3342256595</v>
      </c>
      <c r="AQ58" s="1182">
        <v>128.45787941496607</v>
      </c>
      <c r="AR58" s="1183">
        <v>23000</v>
      </c>
      <c r="AS58" s="1182">
        <v>40924.578437674048</v>
      </c>
      <c r="AT58" s="1182">
        <v>235.89333683726329</v>
      </c>
      <c r="AU58" s="1182">
        <v>76.558101762351924</v>
      </c>
      <c r="AV58" s="1182">
        <v>66.330309815033132</v>
      </c>
      <c r="AW58" s="1184" t="s">
        <v>131</v>
      </c>
      <c r="AX58" s="1184" t="s">
        <v>402</v>
      </c>
      <c r="AY58" s="1182">
        <v>12.057842920526397</v>
      </c>
      <c r="AZ58" s="1184" t="s">
        <v>1086</v>
      </c>
      <c r="BA58" s="1184" t="s">
        <v>183</v>
      </c>
      <c r="BB58" s="1182">
        <v>308.56992095380389</v>
      </c>
      <c r="BC58" s="1182">
        <v>301.18259044114848</v>
      </c>
      <c r="BD58" s="1180"/>
      <c r="BE58" s="1184" t="s">
        <v>167</v>
      </c>
      <c r="BF58" s="1181">
        <v>3.4364103514983167E-2</v>
      </c>
      <c r="BG58" s="1181">
        <v>2.7628716095948946</v>
      </c>
      <c r="BH58" s="1181">
        <v>1.1660732010143549E-2</v>
      </c>
      <c r="BI58" s="1184" t="s">
        <v>213</v>
      </c>
      <c r="BJ58" s="1184" t="s">
        <v>130</v>
      </c>
      <c r="BK58" s="1181">
        <v>0.5204476337998768</v>
      </c>
      <c r="BL58" s="1275">
        <v>1.9233007528338876E-3</v>
      </c>
      <c r="BM58" s="1182"/>
      <c r="BN58" s="1182"/>
      <c r="BO58" s="1182"/>
      <c r="BP58" s="1181">
        <v>0.37984502777064821</v>
      </c>
      <c r="BQ58" s="1181">
        <v>0.12738260907763577</v>
      </c>
      <c r="BR58" s="1181">
        <v>0.2421228410158332</v>
      </c>
      <c r="BS58" s="1185"/>
      <c r="BT58" s="1186">
        <v>45.487001419067397</v>
      </c>
      <c r="BU58" s="1187">
        <v>1.5046332361093497</v>
      </c>
      <c r="BV58" s="1185"/>
      <c r="BW58" s="1188" t="s">
        <v>1085</v>
      </c>
    </row>
    <row r="59" spans="38:75" ht="17">
      <c r="AL59" s="1226" t="s">
        <v>1084</v>
      </c>
      <c r="AM59" s="1159">
        <v>4.0831947236853772</v>
      </c>
      <c r="AN59" s="1157">
        <v>81.347048841011784</v>
      </c>
      <c r="AO59" s="1157">
        <v>1004.2930823906221</v>
      </c>
      <c r="AP59" s="1162"/>
      <c r="AQ59" s="1157">
        <v>116.43947880099067</v>
      </c>
      <c r="AR59" s="1158">
        <v>23000</v>
      </c>
      <c r="AS59" s="1157"/>
      <c r="AT59" s="1157">
        <v>246.59232790727961</v>
      </c>
      <c r="AU59" s="1157">
        <v>82.5133476339672</v>
      </c>
      <c r="AV59" s="1157">
        <v>76.348459475876012</v>
      </c>
      <c r="AW59" s="1159">
        <v>3.0613386382008336</v>
      </c>
      <c r="AX59" s="1159">
        <v>3.9696098935791295</v>
      </c>
      <c r="AY59" s="1157">
        <v>14.708940476999206</v>
      </c>
      <c r="AZ59" s="1160" t="s">
        <v>1083</v>
      </c>
      <c r="BA59" s="1160" t="s">
        <v>584</v>
      </c>
      <c r="BB59" s="1157">
        <v>347.60112833629478</v>
      </c>
      <c r="BC59" s="1157">
        <v>330.76076392149071</v>
      </c>
      <c r="BD59" s="1162"/>
      <c r="BE59" s="1162">
        <v>6.3822122414162324E-2</v>
      </c>
      <c r="BF59" s="1162">
        <v>4.1851488476644341E-2</v>
      </c>
      <c r="BG59" s="1159">
        <v>3.4697669102678992</v>
      </c>
      <c r="BH59" s="1162">
        <v>2.8187084935800719E-2</v>
      </c>
      <c r="BI59" s="1160" t="s">
        <v>189</v>
      </c>
      <c r="BJ59" s="1160" t="s">
        <v>139</v>
      </c>
      <c r="BK59" s="1159">
        <v>6.503376024434866</v>
      </c>
      <c r="BL59" s="1157"/>
      <c r="BM59" s="1162"/>
      <c r="BN59" s="1162"/>
      <c r="BO59" s="1160" t="s">
        <v>56</v>
      </c>
      <c r="BP59" s="1162">
        <v>0.3739951012852572</v>
      </c>
      <c r="BQ59" s="1159">
        <v>2.2081202537393736</v>
      </c>
      <c r="BR59" s="1159">
        <v>1.5318978535430527</v>
      </c>
      <c r="BS59" s="1163"/>
      <c r="BT59" s="1164">
        <v>45.487001419067397</v>
      </c>
      <c r="BU59" s="1165">
        <v>0.84353707721058757</v>
      </c>
      <c r="BV59" s="1163"/>
      <c r="BW59" s="1227" t="s">
        <v>1082</v>
      </c>
    </row>
    <row r="60" spans="38:75" ht="17">
      <c r="AL60" s="1019" t="s">
        <v>1081</v>
      </c>
      <c r="AM60" s="1021">
        <v>0.19066144208256716</v>
      </c>
      <c r="AN60" s="1020" t="s">
        <v>1080</v>
      </c>
      <c r="AO60" s="1023">
        <v>175.76657807210046</v>
      </c>
      <c r="AP60" s="1021"/>
      <c r="AQ60" s="1023">
        <v>274.39905790246701</v>
      </c>
      <c r="AR60" s="1022">
        <v>234300</v>
      </c>
      <c r="AS60" s="1023"/>
      <c r="AT60" s="1023">
        <v>1468.1096255984801</v>
      </c>
      <c r="AU60" s="1023">
        <v>62.842962815138065</v>
      </c>
      <c r="AV60" s="1023">
        <v>56.093021687803386</v>
      </c>
      <c r="AW60" s="1024">
        <v>1.6415802233255838</v>
      </c>
      <c r="AX60" s="1021">
        <v>0.4174022208488487</v>
      </c>
      <c r="AY60" s="1023">
        <v>12.455898844779203</v>
      </c>
      <c r="AZ60" s="1020" t="s">
        <v>1079</v>
      </c>
      <c r="BA60" s="1023">
        <v>41.162807777776891</v>
      </c>
      <c r="BB60" s="1023">
        <v>145.1024522054206</v>
      </c>
      <c r="BC60" s="1023">
        <v>139.17850131207061</v>
      </c>
      <c r="BD60" s="1021"/>
      <c r="BE60" s="1021">
        <v>0.52906872941352057</v>
      </c>
      <c r="BF60" s="1023">
        <v>10.281631361017441</v>
      </c>
      <c r="BG60" s="1023">
        <v>322.21488110718462</v>
      </c>
      <c r="BH60" s="1024">
        <v>5.3468603266915489</v>
      </c>
      <c r="BI60" s="1023">
        <v>251.19022130930904</v>
      </c>
      <c r="BJ60" s="1023">
        <v>182.08304573500601</v>
      </c>
      <c r="BK60" s="1021">
        <v>0.77910564926476933</v>
      </c>
      <c r="BL60" s="1289">
        <v>3.8078166561661872E-3</v>
      </c>
      <c r="BM60" s="1021"/>
      <c r="BN60" s="1021"/>
      <c r="BO60" s="1021">
        <v>8.429474699942598E-3</v>
      </c>
      <c r="BP60" s="1023">
        <v>17.695398314169399</v>
      </c>
      <c r="BQ60" s="1023">
        <v>924.12526560879758</v>
      </c>
      <c r="BR60" s="1023">
        <v>812.33414940884029</v>
      </c>
      <c r="BS60" s="1027"/>
      <c r="BT60" s="1028">
        <v>45.488002777099595</v>
      </c>
      <c r="BU60" s="1029">
        <v>1.3170766842706847</v>
      </c>
      <c r="BV60" s="1027"/>
      <c r="BW60" s="1030" t="s">
        <v>1078</v>
      </c>
    </row>
    <row r="61" spans="38:75" ht="17">
      <c r="AL61" s="1031" t="s">
        <v>1077</v>
      </c>
      <c r="AM61" s="978">
        <v>0.30648606727145961</v>
      </c>
      <c r="AN61" s="977" t="s">
        <v>627</v>
      </c>
      <c r="AO61" s="979">
        <v>241.91605044201734</v>
      </c>
      <c r="AP61" s="978"/>
      <c r="AQ61" s="979">
        <v>355.34786156216626</v>
      </c>
      <c r="AR61" s="1032">
        <v>234300</v>
      </c>
      <c r="AS61" s="979"/>
      <c r="AT61" s="979">
        <v>1421.7457154763388</v>
      </c>
      <c r="AU61" s="979">
        <v>80.231487735632498</v>
      </c>
      <c r="AV61" s="979">
        <v>71.273781149297804</v>
      </c>
      <c r="AW61" s="980">
        <v>2.1524473333476535</v>
      </c>
      <c r="AX61" s="980">
        <v>1.2822004613665263</v>
      </c>
      <c r="AY61" s="979">
        <v>13.628008540323663</v>
      </c>
      <c r="AZ61" s="977" t="s">
        <v>1076</v>
      </c>
      <c r="BA61" s="979">
        <v>44.072580457517226</v>
      </c>
      <c r="BB61" s="979">
        <v>162.73010467274773</v>
      </c>
      <c r="BC61" s="979">
        <v>159.91521203457421</v>
      </c>
      <c r="BD61" s="978"/>
      <c r="BE61" s="980">
        <v>1.947449169714448</v>
      </c>
      <c r="BF61" s="979">
        <v>15.063408490299359</v>
      </c>
      <c r="BG61" s="979">
        <v>268.56907258746446</v>
      </c>
      <c r="BH61" s="980">
        <v>7.7346238817374209</v>
      </c>
      <c r="BI61" s="979">
        <v>174.1081047953908</v>
      </c>
      <c r="BJ61" s="979">
        <v>128.46869367958573</v>
      </c>
      <c r="BK61" s="980">
        <v>2.236072908500037</v>
      </c>
      <c r="BL61" s="978">
        <v>1.8039999178655109E-2</v>
      </c>
      <c r="BM61" s="978"/>
      <c r="BN61" s="978"/>
      <c r="BO61" s="978">
        <v>3.9926926968903091E-2</v>
      </c>
      <c r="BP61" s="979">
        <v>22.781519756321856</v>
      </c>
      <c r="BQ61" s="979">
        <v>602.99612963275808</v>
      </c>
      <c r="BR61" s="979">
        <v>517.74563366540076</v>
      </c>
      <c r="BS61" s="983"/>
      <c r="BT61" s="984">
        <v>45.488000869750998</v>
      </c>
      <c r="BU61" s="985">
        <v>1.0249254899422582</v>
      </c>
      <c r="BV61" s="983"/>
      <c r="BW61" s="1033" t="s">
        <v>1075</v>
      </c>
    </row>
    <row r="62" spans="38:75" ht="17">
      <c r="AL62" s="1031" t="s">
        <v>1074</v>
      </c>
      <c r="AM62" s="978">
        <v>0.38538684773909759</v>
      </c>
      <c r="AN62" s="977" t="s">
        <v>1073</v>
      </c>
      <c r="AO62" s="979">
        <v>296.54976261913356</v>
      </c>
      <c r="AP62" s="978"/>
      <c r="AQ62" s="979">
        <v>351.69322807134</v>
      </c>
      <c r="AR62" s="1032">
        <v>234300</v>
      </c>
      <c r="AS62" s="979"/>
      <c r="AT62" s="979">
        <v>1180.2881320853112</v>
      </c>
      <c r="AU62" s="979">
        <v>85.756115299376532</v>
      </c>
      <c r="AV62" s="979">
        <v>68.360278707578459</v>
      </c>
      <c r="AW62" s="980">
        <v>3.510034902586495</v>
      </c>
      <c r="AX62" s="980">
        <v>3.2070078068611214</v>
      </c>
      <c r="AY62" s="979">
        <v>14.183195710773283</v>
      </c>
      <c r="AZ62" s="977" t="s">
        <v>1072</v>
      </c>
      <c r="BA62" s="979">
        <v>52.942151172226872</v>
      </c>
      <c r="BB62" s="979">
        <v>174.5528702526021</v>
      </c>
      <c r="BC62" s="979">
        <v>172.27436781002783</v>
      </c>
      <c r="BD62" s="978"/>
      <c r="BE62" s="980">
        <v>4.4778336375636716</v>
      </c>
      <c r="BF62" s="979">
        <v>14.33518380371995</v>
      </c>
      <c r="BG62" s="979">
        <v>228.09876899271936</v>
      </c>
      <c r="BH62" s="980">
        <v>7.6925736894008976</v>
      </c>
      <c r="BI62" s="979">
        <v>184.07732854200168</v>
      </c>
      <c r="BJ62" s="979">
        <v>114.55280649228391</v>
      </c>
      <c r="BK62" s="980">
        <v>3.0951536844573191</v>
      </c>
      <c r="BL62" s="978">
        <v>2.331728752878055E-2</v>
      </c>
      <c r="BM62" s="978"/>
      <c r="BN62" s="978"/>
      <c r="BO62" s="978">
        <v>0.18612708566052655</v>
      </c>
      <c r="BP62" s="979">
        <v>34.70982908708298</v>
      </c>
      <c r="BQ62" s="979">
        <v>427.7245434879855</v>
      </c>
      <c r="BR62" s="979">
        <v>407.01335413961266</v>
      </c>
      <c r="BS62" s="983"/>
      <c r="BT62" s="984">
        <v>45.487001419067397</v>
      </c>
      <c r="BU62" s="985">
        <v>1.0832971491960908</v>
      </c>
      <c r="BV62" s="983"/>
      <c r="BW62" s="1033" t="s">
        <v>1071</v>
      </c>
    </row>
    <row r="63" spans="38:75" ht="17">
      <c r="AL63" s="1031" t="s">
        <v>1070</v>
      </c>
      <c r="AM63" s="986" t="s">
        <v>211</v>
      </c>
      <c r="AN63" s="1138" t="s">
        <v>215</v>
      </c>
      <c r="AO63" s="979">
        <v>164.55237357553386</v>
      </c>
      <c r="AP63" s="979"/>
      <c r="AQ63" s="979">
        <v>351.74844274449572</v>
      </c>
      <c r="AR63" s="1032">
        <v>234300</v>
      </c>
      <c r="AS63" s="979"/>
      <c r="AT63" s="979">
        <v>1561.3719208947841</v>
      </c>
      <c r="AU63" s="979">
        <v>59.236461721269137</v>
      </c>
      <c r="AV63" s="979">
        <v>51.691151792750219</v>
      </c>
      <c r="AW63" s="978">
        <v>0.95042563792844104</v>
      </c>
      <c r="AX63" s="977" t="s">
        <v>285</v>
      </c>
      <c r="AY63" s="979">
        <v>11.938211652289533</v>
      </c>
      <c r="AZ63" s="977" t="s">
        <v>1069</v>
      </c>
      <c r="BA63" s="979">
        <v>56.70997040798099</v>
      </c>
      <c r="BB63" s="979">
        <v>122.13527325069515</v>
      </c>
      <c r="BC63" s="979">
        <v>115.27789649043704</v>
      </c>
      <c r="BD63" s="978"/>
      <c r="BE63" s="980">
        <v>3.2270499292895294</v>
      </c>
      <c r="BF63" s="979">
        <v>14.176204227985242</v>
      </c>
      <c r="BG63" s="979">
        <v>314.64091262753271</v>
      </c>
      <c r="BH63" s="980">
        <v>7.951999727044111</v>
      </c>
      <c r="BI63" s="979">
        <v>203.85185932287308</v>
      </c>
      <c r="BJ63" s="979">
        <v>145.46810854808808</v>
      </c>
      <c r="BK63" s="978">
        <v>0.88953966474661617</v>
      </c>
      <c r="BL63" s="978">
        <v>2.8533266719324372E-2</v>
      </c>
      <c r="BM63" s="978"/>
      <c r="BN63" s="978"/>
      <c r="BO63" s="978">
        <v>8.7183778885525642E-2</v>
      </c>
      <c r="BP63" s="979">
        <v>28.655556745606276</v>
      </c>
      <c r="BQ63" s="979">
        <v>625.72588244181156</v>
      </c>
      <c r="BR63" s="979">
        <v>498.57902573697595</v>
      </c>
      <c r="BS63" s="983"/>
      <c r="BT63" s="984">
        <v>42.772001266479492</v>
      </c>
      <c r="BU63" s="985">
        <v>1.1378976903807583</v>
      </c>
      <c r="BV63" s="983"/>
      <c r="BW63" s="1033" t="s">
        <v>1068</v>
      </c>
    </row>
    <row r="64" spans="38:75" ht="17">
      <c r="AL64" s="1041" t="s">
        <v>1067</v>
      </c>
      <c r="AM64" s="1042">
        <v>0.2077618273470776</v>
      </c>
      <c r="AN64" s="1290" t="s">
        <v>344</v>
      </c>
      <c r="AO64" s="1043">
        <v>163.64494354844209</v>
      </c>
      <c r="AP64" s="1043"/>
      <c r="AQ64" s="1043">
        <v>247.41086867462002</v>
      </c>
      <c r="AR64" s="1044">
        <v>234300</v>
      </c>
      <c r="AS64" s="1043"/>
      <c r="AT64" s="1043">
        <v>1478.2231621495405</v>
      </c>
      <c r="AU64" s="1043">
        <v>51.521789408596391</v>
      </c>
      <c r="AV64" s="1043">
        <v>46.701668402372654</v>
      </c>
      <c r="AW64" s="1046">
        <v>1.6791382694778549</v>
      </c>
      <c r="AX64" s="1042">
        <v>0.58192849227198618</v>
      </c>
      <c r="AY64" s="1046">
        <v>9.4629265921827699</v>
      </c>
      <c r="AZ64" s="1047" t="s">
        <v>1066</v>
      </c>
      <c r="BA64" s="1043">
        <v>47.956288595326335</v>
      </c>
      <c r="BB64" s="1043">
        <v>129.30861123050587</v>
      </c>
      <c r="BC64" s="1043">
        <v>121.23137132560302</v>
      </c>
      <c r="BD64" s="1042"/>
      <c r="BE64" s="1042">
        <v>0.51609422491087997</v>
      </c>
      <c r="BF64" s="1046">
        <v>9.0499137207076359</v>
      </c>
      <c r="BG64" s="1043">
        <v>466.54163297945814</v>
      </c>
      <c r="BH64" s="1046">
        <v>4.83867620836046</v>
      </c>
      <c r="BI64" s="1043">
        <v>232.91486437490073</v>
      </c>
      <c r="BJ64" s="1043">
        <v>153.22210391604895</v>
      </c>
      <c r="BK64" s="1046">
        <v>1.8005491632949351</v>
      </c>
      <c r="BL64" s="1042">
        <v>6.2566549524789624E-3</v>
      </c>
      <c r="BM64" s="1042"/>
      <c r="BN64" s="1042"/>
      <c r="BO64" s="1042">
        <v>1.1008156025156311E-2</v>
      </c>
      <c r="BP64" s="1043">
        <v>15.589557745891403</v>
      </c>
      <c r="BQ64" s="1043">
        <v>905.23733861800827</v>
      </c>
      <c r="BR64" s="1043">
        <v>750.66702429348277</v>
      </c>
      <c r="BS64" s="1048"/>
      <c r="BT64" s="1049">
        <v>44.809001922607393</v>
      </c>
      <c r="BU64" s="1050">
        <v>1.3786556993649004</v>
      </c>
      <c r="BV64" s="1048"/>
      <c r="BW64" s="1051" t="s">
        <v>1065</v>
      </c>
    </row>
    <row r="66" spans="38:68" ht="18" thickBot="1">
      <c r="AL66" s="309" t="s">
        <v>145</v>
      </c>
      <c r="AM66" s="311">
        <v>10</v>
      </c>
      <c r="AN66" s="311">
        <v>23</v>
      </c>
      <c r="AO66" s="311">
        <v>10</v>
      </c>
      <c r="AP66" s="311">
        <v>937000</v>
      </c>
      <c r="AQ66" s="311">
        <v>4600</v>
      </c>
      <c r="AR66" s="446">
        <v>55000</v>
      </c>
      <c r="AS66" s="311">
        <v>55000</v>
      </c>
      <c r="AT66" s="311">
        <v>145</v>
      </c>
      <c r="AU66" s="308">
        <v>0.34</v>
      </c>
      <c r="AV66" s="308">
        <v>0.34</v>
      </c>
      <c r="AW66" s="311">
        <v>58</v>
      </c>
      <c r="AX66" s="311">
        <v>58</v>
      </c>
      <c r="AY66" s="311">
        <v>177</v>
      </c>
      <c r="AZ66" s="311">
        <v>177</v>
      </c>
      <c r="BA66" s="308">
        <v>4.3</v>
      </c>
      <c r="BB66" s="308">
        <v>6.4</v>
      </c>
      <c r="BC66" s="308">
        <v>6.4</v>
      </c>
      <c r="BD66" s="308">
        <v>20</v>
      </c>
      <c r="BE66" s="308">
        <v>2.1</v>
      </c>
      <c r="BF66" s="308">
        <v>1.43</v>
      </c>
      <c r="BG66" s="308">
        <v>1</v>
      </c>
      <c r="BH66" s="308" t="s">
        <v>94</v>
      </c>
      <c r="BI66" s="308" t="s">
        <v>94</v>
      </c>
      <c r="BJ66" s="308" t="s">
        <v>94</v>
      </c>
      <c r="BK66" s="308">
        <v>2.85</v>
      </c>
      <c r="BL66" s="308">
        <v>1.1399999999999999</v>
      </c>
      <c r="BM66" s="308">
        <v>9.44</v>
      </c>
      <c r="BN66" s="308">
        <v>15.1</v>
      </c>
      <c r="BO66" s="308">
        <v>30.1</v>
      </c>
      <c r="BP66" s="308">
        <v>0.66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BW83"/>
  <sheetViews>
    <sheetView topLeftCell="AA1" zoomScale="120" zoomScaleNormal="120" workbookViewId="0">
      <selection activeCell="H34" sqref="H34"/>
    </sheetView>
  </sheetViews>
  <sheetFormatPr baseColWidth="10" defaultColWidth="8.6640625" defaultRowHeight="16"/>
  <cols>
    <col min="1" max="1" width="9.1640625" style="172" customWidth="1"/>
    <col min="2" max="2" width="11.1640625" style="172" customWidth="1"/>
    <col min="3" max="3" width="11.33203125" style="172" customWidth="1"/>
    <col min="4" max="9" width="11.5" style="172" customWidth="1"/>
    <col min="10" max="11" width="11.1640625" style="172" customWidth="1"/>
    <col min="12" max="12" width="11.1640625" style="172" bestFit="1" customWidth="1"/>
    <col min="13" max="14" width="12.5" style="172" customWidth="1"/>
    <col min="15" max="15" width="10.5" style="172" bestFit="1" customWidth="1"/>
    <col min="16" max="16" width="9.5" style="172" bestFit="1" customWidth="1"/>
    <col min="17" max="18" width="9" style="172" bestFit="1" customWidth="1"/>
    <col min="19" max="19" width="9.83203125" style="172" customWidth="1"/>
    <col min="20" max="22" width="11.1640625" style="172" customWidth="1"/>
    <col min="23" max="23" width="13.33203125" style="172" customWidth="1"/>
    <col min="24" max="25" width="9" style="172" bestFit="1" customWidth="1"/>
    <col min="26" max="26" width="13.1640625" style="172" customWidth="1"/>
    <col min="27" max="27" width="12.83203125" style="172" customWidth="1"/>
    <col min="28" max="28" width="9.83203125" style="172" customWidth="1"/>
    <col min="29" max="29" width="13.83203125" style="172" customWidth="1"/>
    <col min="30" max="30" width="12.5" style="172" customWidth="1"/>
    <col min="31" max="32" width="12.5" style="306" customWidth="1"/>
    <col min="33" max="33" width="10.6640625" style="172" customWidth="1"/>
    <col min="34" max="34" width="14.5" style="172" customWidth="1"/>
    <col min="35" max="35" width="11.6640625" style="172" customWidth="1"/>
    <col min="36" max="36" width="16.83203125" style="172" customWidth="1"/>
    <col min="37" max="37" width="8.83203125" style="172" bestFit="1" customWidth="1"/>
    <col min="38" max="38" width="25.1640625" style="172" customWidth="1"/>
    <col min="39" max="41" width="8.83203125" style="172" bestFit="1" customWidth="1"/>
    <col min="42" max="42" width="10.1640625" style="172" customWidth="1"/>
    <col min="43" max="46" width="8.83203125" style="172" bestFit="1" customWidth="1"/>
    <col min="47" max="47" width="10.1640625" style="172" customWidth="1"/>
    <col min="48" max="48" width="11.6640625" style="172" customWidth="1"/>
    <col min="49" max="49" width="10.5" style="172" customWidth="1"/>
    <col min="50" max="51" width="8.83203125" style="172" bestFit="1" customWidth="1"/>
    <col min="52" max="52" width="8.6640625" style="172"/>
    <col min="53" max="53" width="8.6640625" style="172" customWidth="1"/>
    <col min="54" max="74" width="8.6640625" style="172"/>
    <col min="75" max="75" width="41.1640625" style="172" customWidth="1"/>
    <col min="76" max="16384" width="8.6640625" style="172"/>
  </cols>
  <sheetData>
    <row r="1" spans="1:75">
      <c r="A1" s="445" t="s">
        <v>495</v>
      </c>
      <c r="B1" s="445" t="s">
        <v>494</v>
      </c>
      <c r="C1" s="306" t="s">
        <v>493</v>
      </c>
      <c r="D1" s="306" t="s">
        <v>492</v>
      </c>
      <c r="E1" s="1461" t="s">
        <v>1421</v>
      </c>
      <c r="F1" s="306" t="s">
        <v>491</v>
      </c>
      <c r="G1" s="306" t="s">
        <v>490</v>
      </c>
      <c r="H1" s="1461" t="s">
        <v>1422</v>
      </c>
      <c r="I1" s="306" t="s">
        <v>489</v>
      </c>
      <c r="J1" s="306" t="s">
        <v>488</v>
      </c>
      <c r="K1" s="1461" t="s">
        <v>1423</v>
      </c>
      <c r="L1" s="874" t="s">
        <v>1393</v>
      </c>
      <c r="M1" s="875" t="s">
        <v>1392</v>
      </c>
      <c r="N1" s="886" t="s">
        <v>1353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52" t="s">
        <v>935</v>
      </c>
      <c r="X1" s="306" t="s">
        <v>481</v>
      </c>
      <c r="Y1" s="306" t="s">
        <v>480</v>
      </c>
      <c r="Z1" s="1375" t="s">
        <v>1411</v>
      </c>
      <c r="AA1" s="1375" t="s">
        <v>1412</v>
      </c>
      <c r="AB1" s="874" t="s">
        <v>1394</v>
      </c>
      <c r="AC1" s="843" t="s">
        <v>478</v>
      </c>
      <c r="AD1" s="875" t="s">
        <v>1353</v>
      </c>
      <c r="AE1" s="1530" t="s">
        <v>1428</v>
      </c>
      <c r="AF1" s="1530" t="s">
        <v>1429</v>
      </c>
      <c r="AG1" s="1483" t="s">
        <v>1425</v>
      </c>
      <c r="AH1" s="1485" t="s">
        <v>1427</v>
      </c>
      <c r="AI1" s="886" t="s">
        <v>1353</v>
      </c>
      <c r="AL1" s="716" t="s">
        <v>271</v>
      </c>
      <c r="AM1" s="1" t="s">
        <v>0</v>
      </c>
      <c r="AN1" s="2"/>
      <c r="AO1" s="2"/>
      <c r="AP1" s="3"/>
      <c r="AQ1" s="3"/>
      <c r="AR1" s="2"/>
      <c r="AS1" s="2"/>
      <c r="AT1" s="2"/>
      <c r="AU1" s="2"/>
      <c r="AV1" s="2"/>
      <c r="AW1" s="2"/>
      <c r="AX1" s="2"/>
      <c r="AY1" s="3"/>
      <c r="AZ1" s="3"/>
      <c r="BA1" s="3"/>
      <c r="BB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7" thickBo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846"/>
      <c r="M2" s="306"/>
      <c r="N2" s="847"/>
      <c r="O2" s="306"/>
      <c r="P2" s="306"/>
      <c r="Q2" s="306"/>
      <c r="R2" s="306"/>
      <c r="S2" s="306"/>
      <c r="T2" s="306"/>
      <c r="U2" s="306"/>
      <c r="V2" s="306"/>
      <c r="W2" s="853"/>
      <c r="X2" s="306"/>
      <c r="Y2" s="306"/>
      <c r="Z2" s="306"/>
      <c r="AA2" s="306"/>
      <c r="AB2" s="846"/>
      <c r="AC2" s="306"/>
      <c r="AD2" s="840"/>
      <c r="AG2" s="911"/>
      <c r="AH2" s="840"/>
      <c r="AI2" s="901"/>
      <c r="AL2" s="4"/>
      <c r="AM2" s="2" t="s">
        <v>1</v>
      </c>
      <c r="AN2" s="2"/>
      <c r="AO2" s="2"/>
      <c r="AP2" s="2"/>
      <c r="AQ2" s="3"/>
      <c r="AR2" s="2"/>
      <c r="AS2" s="2"/>
      <c r="AT2" s="2"/>
      <c r="AU2" s="2"/>
      <c r="AV2" s="5" t="s">
        <v>150</v>
      </c>
      <c r="AW2" s="175">
        <v>44322.68346064815</v>
      </c>
      <c r="AX2" s="2"/>
      <c r="AY2" s="5"/>
      <c r="AZ2" s="6"/>
      <c r="BA2" s="3"/>
      <c r="BB2" s="3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>
      <c r="A3" s="435" t="s">
        <v>313</v>
      </c>
      <c r="B3" s="435" t="s">
        <v>3</v>
      </c>
      <c r="C3" s="751" t="e">
        <f>AVERAGE(AM58:AM63)</f>
        <v>#DIV/0!</v>
      </c>
      <c r="D3" s="751" t="e">
        <f>STDEV(AM58:AM63)</f>
        <v>#DIV/0!</v>
      </c>
      <c r="E3" s="751" t="e" cm="1">
        <f t="array" ref="E3:E34">2*D3:D34</f>
        <v>#DIV/0!</v>
      </c>
      <c r="F3" s="434">
        <f>AVERAGE(AM64:AM72)</f>
        <v>59.117563106762518</v>
      </c>
      <c r="G3" s="434">
        <f>STDEV(AM64:AM72)</f>
        <v>48.86668359928801</v>
      </c>
      <c r="H3" s="434" cm="1">
        <f t="array" ref="H3:H34">2*G3:G34</f>
        <v>97.733367198576019</v>
      </c>
      <c r="I3" s="434">
        <f>AVERAGE(AM73:AM76)</f>
        <v>14.686456503120016</v>
      </c>
      <c r="J3" s="434">
        <f>STDEV(AM73:AM76)</f>
        <v>6.4968475697857535</v>
      </c>
      <c r="K3" s="434" cm="1">
        <f t="array" ref="K3:K34">2*J3:J34</f>
        <v>12.993695139571507</v>
      </c>
      <c r="L3" s="891" t="e" cm="1">
        <f t="array" ref="L3:L34">C3:C34/I3:I34</f>
        <v>#DIV/0!</v>
      </c>
      <c r="M3" s="751" t="e" cm="1">
        <f t="array" ref="M3:M34">L3:L34*SQRT((D3:D34/C3:C34)^2 + (J3:J34/I3:I34)^2)</f>
        <v>#DIV/0!</v>
      </c>
      <c r="N3" s="892" t="e" cm="1">
        <f t="array" ref="N3:N34">(2*M3:M34)</f>
        <v>#DIV/0!</v>
      </c>
      <c r="O3" s="433">
        <v>0.56999999999999995</v>
      </c>
      <c r="P3" s="433">
        <v>3</v>
      </c>
      <c r="Q3" s="778">
        <v>0.45948955400000002</v>
      </c>
      <c r="R3" s="570">
        <f t="shared" ref="R3:R34" si="0">(1-(2*Q3))/(1-Q3)</f>
        <v>0.14989699570024584</v>
      </c>
      <c r="S3" s="778">
        <f>O3*(((1-(2*C47))/(1-C47))^P3)</f>
        <v>8.3168180065834509E-4</v>
      </c>
      <c r="T3" s="433">
        <f>O3*(((1-(2*C46))/(1-C46))^P3)</f>
        <v>3.604444544846297E-3</v>
      </c>
      <c r="U3" s="433" cm="1">
        <f t="array" ref="U3:U34">W3:W34-S3:S34</f>
        <v>1.0881078297213804E-3</v>
      </c>
      <c r="V3" s="433" cm="1">
        <f t="array" ref="V3:V34">T3:T34-W3:W34</f>
        <v>1.6846549144665715E-3</v>
      </c>
      <c r="W3" s="897">
        <f>O3*((R3)^P3)</f>
        <v>1.9197896303797255E-3</v>
      </c>
      <c r="X3" s="730" t="e">
        <f>L3/W3</f>
        <v>#DIV/0!</v>
      </c>
      <c r="Y3" s="730" t="e">
        <f>X3*(M3/L3)</f>
        <v>#DIV/0!</v>
      </c>
      <c r="Z3" s="730"/>
      <c r="AA3" s="730"/>
      <c r="AB3" s="891" t="e" cm="1">
        <f t="array" ref="AB3:AB34">C3:C34/F3:F34</f>
        <v>#DIV/0!</v>
      </c>
      <c r="AC3" s="751" t="e" cm="1">
        <f t="array" ref="AC3:AC34">AB3:AB34*SQRT((D3:D34/C3:C34)^2 + (G3:G34/F3:F34)^2)</f>
        <v>#DIV/0!</v>
      </c>
      <c r="AD3" s="908" t="e" cm="1">
        <f t="array" ref="AD3:AD34">2*(AC3:AC34)</f>
        <v>#DIV/0!</v>
      </c>
      <c r="AE3" s="570"/>
      <c r="AF3" s="570"/>
      <c r="AG3" s="912" cm="1">
        <f t="array" ref="AG3:AG34">F3:F34/I3:I34</f>
        <v>4.0253115579107517</v>
      </c>
      <c r="AH3" s="909" cm="1">
        <f t="array" ref="AH3:AH34">AG3:AG34*SQRT((J3:J34/I3:I34)^2 + (G3:G34/F3:F34)^2)</f>
        <v>3.7738486849769988</v>
      </c>
      <c r="AI3" s="904" cm="1">
        <f t="array" ref="AI3:AI34">2*AH3:AH34</f>
        <v>7.5476973699539975</v>
      </c>
      <c r="AJ3" s="435" t="s">
        <v>3</v>
      </c>
      <c r="AL3" s="7" t="s">
        <v>1233</v>
      </c>
      <c r="AM3" s="8" t="s">
        <v>3</v>
      </c>
      <c r="AN3" s="8" t="s">
        <v>4</v>
      </c>
      <c r="AO3" s="8" t="s">
        <v>5</v>
      </c>
      <c r="AP3" s="8" t="s">
        <v>6</v>
      </c>
      <c r="AQ3" s="8" t="s">
        <v>7</v>
      </c>
      <c r="AR3" s="9" t="s">
        <v>8</v>
      </c>
      <c r="AS3" s="8" t="s">
        <v>8</v>
      </c>
      <c r="AT3" s="8" t="s">
        <v>9</v>
      </c>
      <c r="AU3" s="8" t="s">
        <v>10</v>
      </c>
      <c r="AV3" s="8" t="s">
        <v>10</v>
      </c>
      <c r="AW3" s="8" t="s">
        <v>11</v>
      </c>
      <c r="AX3" s="8" t="s">
        <v>11</v>
      </c>
      <c r="AY3" s="8" t="s">
        <v>12</v>
      </c>
      <c r="AZ3" s="8" t="s">
        <v>12</v>
      </c>
      <c r="BA3" s="8" t="s">
        <v>13</v>
      </c>
      <c r="BB3" s="8" t="s">
        <v>14</v>
      </c>
      <c r="BC3" s="8" t="s">
        <v>14</v>
      </c>
      <c r="BD3" s="8" t="s">
        <v>15</v>
      </c>
      <c r="BE3" s="8" t="s">
        <v>16</v>
      </c>
      <c r="BF3" s="8" t="s">
        <v>17</v>
      </c>
      <c r="BG3" s="8" t="s">
        <v>18</v>
      </c>
      <c r="BH3" s="8" t="s">
        <v>17</v>
      </c>
      <c r="BI3" s="8" t="s">
        <v>19</v>
      </c>
      <c r="BJ3" s="8" t="s">
        <v>20</v>
      </c>
      <c r="BK3" s="8" t="s">
        <v>21</v>
      </c>
      <c r="BL3" s="8" t="s">
        <v>22</v>
      </c>
      <c r="BM3" s="8" t="s">
        <v>23</v>
      </c>
      <c r="BN3" s="8" t="s">
        <v>24</v>
      </c>
      <c r="BO3" s="8" t="s">
        <v>25</v>
      </c>
      <c r="BP3" s="8" t="s">
        <v>26</v>
      </c>
      <c r="BQ3" s="8" t="s">
        <v>27</v>
      </c>
      <c r="BR3" s="8" t="s">
        <v>28</v>
      </c>
      <c r="BS3" s="8"/>
      <c r="BT3" s="8" t="s">
        <v>29</v>
      </c>
      <c r="BU3" s="8" t="s">
        <v>30</v>
      </c>
      <c r="BV3" s="8"/>
      <c r="BW3" s="2" t="s">
        <v>31</v>
      </c>
    </row>
    <row r="4" spans="1:75">
      <c r="A4" s="435" t="s">
        <v>313</v>
      </c>
      <c r="B4" s="435" t="s">
        <v>4</v>
      </c>
      <c r="C4" s="751" t="e">
        <f>AVERAGE(AN58:AN63)</f>
        <v>#DIV/0!</v>
      </c>
      <c r="D4" s="751" t="e">
        <f>STDEV(AN58:AN63)</f>
        <v>#DIV/0!</v>
      </c>
      <c r="E4" s="751" t="e">
        <v>#DIV/0!</v>
      </c>
      <c r="F4" s="753">
        <f>AVERAGE(AN64:AN72)</f>
        <v>174.43570952278208</v>
      </c>
      <c r="G4" s="753">
        <f>STDEV(AN64:AN72)</f>
        <v>167.40937744208554</v>
      </c>
      <c r="H4" s="753">
        <v>334.81875488417108</v>
      </c>
      <c r="I4" s="434">
        <f>AVERAGE(AN73:AN76)</f>
        <v>29.802053619987596</v>
      </c>
      <c r="J4" s="434">
        <f>STDEV(AN73:AN76)</f>
        <v>13.027997280248922</v>
      </c>
      <c r="K4" s="434">
        <v>26.055994560497844</v>
      </c>
      <c r="L4" s="891" t="e">
        <v>#DIV/0!</v>
      </c>
      <c r="M4" s="751" t="e">
        <v>#DIV/0!</v>
      </c>
      <c r="N4" s="892" t="e">
        <v>#DIV/0!</v>
      </c>
      <c r="O4" s="433">
        <v>0.81</v>
      </c>
      <c r="P4" s="433">
        <v>1.66</v>
      </c>
      <c r="Q4" s="778">
        <v>0.45948955400000002</v>
      </c>
      <c r="R4" s="570">
        <f t="shared" si="0"/>
        <v>0.14989699570024584</v>
      </c>
      <c r="S4" s="433">
        <f>O4*(((1-(2*C47))/(1-C47))^P4)</f>
        <v>2.1841237851540511E-2</v>
      </c>
      <c r="T4" s="433">
        <f>O4*(((1-(2*C46))/(1-C46))^P4)</f>
        <v>4.9168257579881657E-2</v>
      </c>
      <c r="U4" s="433">
        <v>1.2856509497107024E-2</v>
      </c>
      <c r="V4" s="433">
        <v>1.4470510231234121E-2</v>
      </c>
      <c r="W4" s="887">
        <f t="shared" ref="W4:W34" si="1">O4*((R4)^P4)</f>
        <v>3.4697747348647535E-2</v>
      </c>
      <c r="X4" s="730" t="e">
        <f>L4/W4</f>
        <v>#DIV/0!</v>
      </c>
      <c r="Y4" s="730" t="e">
        <f>X4*(M4/L4)</f>
        <v>#DIV/0!</v>
      </c>
      <c r="Z4" s="1547">
        <f>AN51/F4</f>
        <v>3.1167276044135393E-3</v>
      </c>
      <c r="AA4" s="730"/>
      <c r="AB4" s="891" t="e">
        <v>#DIV/0!</v>
      </c>
      <c r="AC4" s="751" t="e">
        <v>#DIV/0!</v>
      </c>
      <c r="AD4" s="908" t="e">
        <v>#DIV/0!</v>
      </c>
      <c r="AE4" s="570"/>
      <c r="AF4" s="570"/>
      <c r="AG4" s="912">
        <v>5.8531439392415496</v>
      </c>
      <c r="AH4" s="909">
        <v>6.1726746164306592</v>
      </c>
      <c r="AI4" s="904">
        <v>12.345349232861318</v>
      </c>
      <c r="AJ4" s="435" t="s">
        <v>4</v>
      </c>
      <c r="AL4" s="7" t="s">
        <v>32</v>
      </c>
      <c r="AM4" s="8">
        <v>51</v>
      </c>
      <c r="AN4" s="8">
        <v>53</v>
      </c>
      <c r="AO4" s="8">
        <v>55</v>
      </c>
      <c r="AP4" s="8">
        <v>57</v>
      </c>
      <c r="AQ4" s="8">
        <v>59</v>
      </c>
      <c r="AR4" s="10">
        <v>61</v>
      </c>
      <c r="AS4" s="8">
        <v>62</v>
      </c>
      <c r="AT4" s="8">
        <v>63</v>
      </c>
      <c r="AU4" s="8">
        <v>66</v>
      </c>
      <c r="AV4" s="8">
        <v>67</v>
      </c>
      <c r="AW4" s="8">
        <v>69</v>
      </c>
      <c r="AX4" s="8">
        <v>71</v>
      </c>
      <c r="AY4" s="8">
        <v>72</v>
      </c>
      <c r="AZ4" s="8">
        <v>73</v>
      </c>
      <c r="BA4" s="8">
        <v>75</v>
      </c>
      <c r="BB4" s="8">
        <v>95</v>
      </c>
      <c r="BC4" s="8">
        <v>97</v>
      </c>
      <c r="BD4" s="8">
        <v>101</v>
      </c>
      <c r="BE4" s="8">
        <v>103</v>
      </c>
      <c r="BF4" s="8">
        <v>105</v>
      </c>
      <c r="BG4" s="8">
        <v>107</v>
      </c>
      <c r="BH4" s="8">
        <v>108</v>
      </c>
      <c r="BI4" s="8">
        <v>118</v>
      </c>
      <c r="BJ4" s="8">
        <v>121</v>
      </c>
      <c r="BK4" s="8">
        <v>184</v>
      </c>
      <c r="BL4" s="8">
        <v>185</v>
      </c>
      <c r="BM4" s="8">
        <v>189</v>
      </c>
      <c r="BN4" s="8">
        <v>193</v>
      </c>
      <c r="BO4" s="8">
        <v>195</v>
      </c>
      <c r="BP4" s="8">
        <v>197</v>
      </c>
      <c r="BQ4" s="8">
        <v>208</v>
      </c>
      <c r="BR4" s="8">
        <v>209</v>
      </c>
      <c r="BS4" s="8"/>
      <c r="BT4" s="8" t="s">
        <v>33</v>
      </c>
      <c r="BU4" s="8" t="s">
        <v>34</v>
      </c>
      <c r="BV4" s="8"/>
      <c r="BW4" s="2"/>
    </row>
    <row r="5" spans="1:75">
      <c r="A5" s="435" t="s">
        <v>313</v>
      </c>
      <c r="B5" s="435" t="s">
        <v>5</v>
      </c>
      <c r="C5" s="750" t="e">
        <f>AVERAGE(AO58:AO63)</f>
        <v>#DIV/0!</v>
      </c>
      <c r="D5" s="751" t="e">
        <f>STDEV(AO58:AO63)</f>
        <v>#DIV/0!</v>
      </c>
      <c r="E5" s="751" t="e">
        <v>#DIV/0!</v>
      </c>
      <c r="F5" s="434">
        <f>AVERAGE(AO64:AO72)</f>
        <v>697.37433384954488</v>
      </c>
      <c r="G5" s="434">
        <f>STDEV(AO64:AO72)</f>
        <v>332.19747017831656</v>
      </c>
      <c r="H5" s="434">
        <v>664.39494035663313</v>
      </c>
      <c r="I5" s="434">
        <f>AVERAGE(AO73:AO76)</f>
        <v>389.13581971439214</v>
      </c>
      <c r="J5" s="434">
        <f>STDEV(AO73:AO76)</f>
        <v>166.26856160707379</v>
      </c>
      <c r="K5" s="434">
        <v>332.53712321414758</v>
      </c>
      <c r="L5" s="891" t="e">
        <v>#DIV/0!</v>
      </c>
      <c r="M5" s="751" t="e">
        <v>#DIV/0!</v>
      </c>
      <c r="N5" s="892" t="e">
        <v>#DIV/0!</v>
      </c>
      <c r="O5" s="433"/>
      <c r="P5" s="433"/>
      <c r="Q5" s="778">
        <v>0.45948955400000002</v>
      </c>
      <c r="R5" s="570">
        <f t="shared" si="0"/>
        <v>0.14989699570024584</v>
      </c>
      <c r="S5" s="433"/>
      <c r="T5" s="433"/>
      <c r="U5" s="433">
        <v>0</v>
      </c>
      <c r="V5" s="433">
        <v>0</v>
      </c>
      <c r="W5" s="898">
        <f>O5*((R5)^P5)</f>
        <v>0</v>
      </c>
      <c r="X5" s="730" t="e">
        <f>L5/W5</f>
        <v>#DIV/0!</v>
      </c>
      <c r="Y5" s="730" t="e">
        <f>X5*(M5/L5)</f>
        <v>#DIV/0!</v>
      </c>
      <c r="Z5" s="730"/>
      <c r="AA5" s="730"/>
      <c r="AB5" s="891" t="e">
        <v>#DIV/0!</v>
      </c>
      <c r="AC5" s="751" t="e">
        <v>#DIV/0!</v>
      </c>
      <c r="AD5" s="908" t="e">
        <v>#DIV/0!</v>
      </c>
      <c r="AE5" s="570"/>
      <c r="AF5" s="570"/>
      <c r="AG5" s="912">
        <v>1.7921103597232084</v>
      </c>
      <c r="AH5" s="909">
        <v>1.1467809907944349</v>
      </c>
      <c r="AI5" s="904">
        <v>2.2935619815888697</v>
      </c>
      <c r="AJ5" s="435" t="s">
        <v>5</v>
      </c>
      <c r="AL5" s="7"/>
      <c r="AM5" s="8" t="s">
        <v>35</v>
      </c>
      <c r="AN5" s="8" t="s">
        <v>35</v>
      </c>
      <c r="AO5" s="8" t="s">
        <v>35</v>
      </c>
      <c r="AP5" s="8" t="s">
        <v>35</v>
      </c>
      <c r="AQ5" s="8" t="s">
        <v>35</v>
      </c>
      <c r="AR5" s="10" t="s">
        <v>35</v>
      </c>
      <c r="AS5" s="8" t="s">
        <v>35</v>
      </c>
      <c r="AT5" s="8" t="s">
        <v>35</v>
      </c>
      <c r="AU5" s="8" t="s">
        <v>35</v>
      </c>
      <c r="AV5" s="8" t="s">
        <v>35</v>
      </c>
      <c r="AW5" s="8" t="s">
        <v>35</v>
      </c>
      <c r="AX5" s="8" t="s">
        <v>35</v>
      </c>
      <c r="AY5" s="8" t="s">
        <v>35</v>
      </c>
      <c r="AZ5" s="8" t="s">
        <v>35</v>
      </c>
      <c r="BA5" s="8" t="s">
        <v>35</v>
      </c>
      <c r="BB5" s="8" t="s">
        <v>35</v>
      </c>
      <c r="BC5" s="8" t="s">
        <v>35</v>
      </c>
      <c r="BD5" s="8" t="s">
        <v>35</v>
      </c>
      <c r="BE5" s="8" t="s">
        <v>35</v>
      </c>
      <c r="BF5" s="8" t="s">
        <v>35</v>
      </c>
      <c r="BG5" s="8" t="s">
        <v>35</v>
      </c>
      <c r="BH5" s="8" t="s">
        <v>35</v>
      </c>
      <c r="BI5" s="8" t="s">
        <v>35</v>
      </c>
      <c r="BJ5" s="8" t="s">
        <v>35</v>
      </c>
      <c r="BK5" s="8" t="s">
        <v>35</v>
      </c>
      <c r="BL5" s="8" t="s">
        <v>35</v>
      </c>
      <c r="BM5" s="8" t="s">
        <v>35</v>
      </c>
      <c r="BN5" s="8" t="s">
        <v>35</v>
      </c>
      <c r="BO5" s="8" t="s">
        <v>35</v>
      </c>
      <c r="BP5" s="8" t="s">
        <v>35</v>
      </c>
      <c r="BQ5" s="8" t="s">
        <v>35</v>
      </c>
      <c r="BR5" s="8" t="s">
        <v>35</v>
      </c>
      <c r="BS5" s="8"/>
      <c r="BT5" s="8"/>
      <c r="BU5" s="8"/>
      <c r="BV5" s="8"/>
      <c r="BW5" s="2"/>
    </row>
    <row r="6" spans="1:75">
      <c r="A6" s="734" t="s">
        <v>313</v>
      </c>
      <c r="B6" s="734" t="s">
        <v>6</v>
      </c>
      <c r="C6" s="750" t="e">
        <f>AVERAGE(AP58:AP63)</f>
        <v>#DIV/0!</v>
      </c>
      <c r="D6" s="750" t="e">
        <f>STDEV(AP58:AP63)</f>
        <v>#DIV/0!</v>
      </c>
      <c r="E6" s="750" t="e">
        <v>#DIV/0!</v>
      </c>
      <c r="F6" s="750" t="e">
        <f>AVERAGE(AP64:AP72)</f>
        <v>#DIV/0!</v>
      </c>
      <c r="G6" s="750" t="e">
        <f>STDEV(AP64:AP72)</f>
        <v>#DIV/0!</v>
      </c>
      <c r="H6" s="750" t="e">
        <v>#DIV/0!</v>
      </c>
      <c r="I6" s="750" t="e">
        <f>AVERAGE(AP73:AP76)</f>
        <v>#DIV/0!</v>
      </c>
      <c r="J6" s="750" t="e">
        <f>STDEV(AP73:AP76)</f>
        <v>#DIV/0!</v>
      </c>
      <c r="K6" s="750" t="e">
        <v>#DIV/0!</v>
      </c>
      <c r="L6" s="893" t="e">
        <v>#DIV/0!</v>
      </c>
      <c r="M6" s="781" t="e">
        <v>#DIV/0!</v>
      </c>
      <c r="N6" s="894" t="e">
        <v>#DIV/0!</v>
      </c>
      <c r="O6" s="736"/>
      <c r="P6" s="736"/>
      <c r="Q6" s="778">
        <v>0.45948955400000002</v>
      </c>
      <c r="R6" s="781">
        <f t="shared" si="0"/>
        <v>0.14989699570024584</v>
      </c>
      <c r="S6" s="736"/>
      <c r="T6" s="736"/>
      <c r="U6" s="736">
        <v>0</v>
      </c>
      <c r="V6" s="736">
        <v>0</v>
      </c>
      <c r="W6" s="899">
        <f t="shared" si="1"/>
        <v>0</v>
      </c>
      <c r="X6" s="736" t="e">
        <f t="shared" ref="X6:X33" si="2">L6/W6</f>
        <v>#DIV/0!</v>
      </c>
      <c r="Y6" s="734" t="e">
        <f>X6*(M6/L6)</f>
        <v>#DIV/0!</v>
      </c>
      <c r="Z6" s="734"/>
      <c r="AA6" s="734"/>
      <c r="AB6" s="902" t="e">
        <v>#DIV/0!</v>
      </c>
      <c r="AC6" s="903" t="e">
        <v>#DIV/0!</v>
      </c>
      <c r="AD6" s="909" t="e">
        <v>#DIV/0!</v>
      </c>
      <c r="AE6" s="570"/>
      <c r="AF6" s="570"/>
      <c r="AG6" s="912" t="e">
        <v>#DIV/0!</v>
      </c>
      <c r="AH6" s="909" t="e">
        <v>#DIV/0!</v>
      </c>
      <c r="AI6" s="904" t="e">
        <v>#DIV/0!</v>
      </c>
      <c r="AJ6" s="734" t="s">
        <v>6</v>
      </c>
      <c r="AL6" s="7"/>
      <c r="AM6" s="11"/>
      <c r="AN6" s="11"/>
      <c r="AO6" s="11"/>
      <c r="AP6" s="11"/>
      <c r="AQ6" s="11"/>
      <c r="AR6" s="12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3"/>
    </row>
    <row r="7" spans="1:75">
      <c r="A7" s="737" t="s">
        <v>313</v>
      </c>
      <c r="B7" s="737" t="s">
        <v>7</v>
      </c>
      <c r="C7" s="1465">
        <f>AVERAGE(AQ58:AQ63)</f>
        <v>589.13696265780129</v>
      </c>
      <c r="D7" s="735">
        <f>STDEV(AQ58:AQ63)</f>
        <v>45.688561501442635</v>
      </c>
      <c r="E7" s="1465">
        <v>91.37712300288527</v>
      </c>
      <c r="F7" s="802">
        <f>AVERAGE(AQ64:AQ72)</f>
        <v>25.205135521504541</v>
      </c>
      <c r="G7" s="750">
        <f>STDEV(AQ64:AQ72)</f>
        <v>12.836937265602074</v>
      </c>
      <c r="H7" s="750">
        <v>25.673874531204149</v>
      </c>
      <c r="I7" s="1465">
        <f>AVERAGE(AQ73:AQ76)</f>
        <v>110.10793670821349</v>
      </c>
      <c r="J7" s="752">
        <f>STDEV(AQ73:AQ76)</f>
        <v>11.215046179571083</v>
      </c>
      <c r="K7" s="1472">
        <v>22.430092359142165</v>
      </c>
      <c r="L7" s="1336">
        <v>5.3505403903718296</v>
      </c>
      <c r="M7" s="781">
        <v>0.6849675711174914</v>
      </c>
      <c r="N7" s="894">
        <v>1.3699351422349828</v>
      </c>
      <c r="O7" s="738">
        <v>0.95</v>
      </c>
      <c r="P7" s="738">
        <v>-1.26</v>
      </c>
      <c r="Q7" s="778">
        <v>0.45948955400000002</v>
      </c>
      <c r="R7" s="781">
        <f t="shared" si="0"/>
        <v>0.14989699570024584</v>
      </c>
      <c r="S7" s="781">
        <f>O7*(((1-(2*C46))/(1-C46))^P7)</f>
        <v>7.9674425095111188</v>
      </c>
      <c r="T7" s="781">
        <f>O7*(((1-(2*C47))/(1-C47))^P7)</f>
        <v>14.750577423679621</v>
      </c>
      <c r="U7" s="781">
        <v>2.4132066984288043</v>
      </c>
      <c r="V7" s="781">
        <v>4.3699282157396979</v>
      </c>
      <c r="W7" s="1362">
        <f t="shared" si="1"/>
        <v>10.380649207939923</v>
      </c>
      <c r="X7" s="736">
        <f t="shared" si="2"/>
        <v>0.51543408154851456</v>
      </c>
      <c r="Y7" s="736">
        <f t="shared" ref="Y7:Y32" si="3">X7*(M7/L7)</f>
        <v>6.5985041724902452E-2</v>
      </c>
      <c r="Z7" s="736"/>
      <c r="AA7" s="736"/>
      <c r="AB7" s="902">
        <v>23.373687562804843</v>
      </c>
      <c r="AC7" s="895">
        <v>12.041401711542969</v>
      </c>
      <c r="AD7" s="909">
        <v>24.082803423085938</v>
      </c>
      <c r="AE7" s="570"/>
      <c r="AF7" s="570"/>
      <c r="AG7" s="916">
        <v>0.22891297643963904</v>
      </c>
      <c r="AH7" s="917">
        <v>0.1188936601825976</v>
      </c>
      <c r="AI7" s="918">
        <v>0.2377873203651952</v>
      </c>
      <c r="AJ7" s="737" t="s">
        <v>7</v>
      </c>
      <c r="AL7" s="7" t="s">
        <v>36</v>
      </c>
      <c r="AM7" s="13">
        <v>54.3</v>
      </c>
      <c r="AN7" s="14">
        <v>2646</v>
      </c>
      <c r="AO7" s="14">
        <v>1933</v>
      </c>
      <c r="AP7" s="14">
        <v>184300</v>
      </c>
      <c r="AQ7" s="14">
        <v>506</v>
      </c>
      <c r="AR7" s="15">
        <v>10770</v>
      </c>
      <c r="AS7" s="14">
        <v>10770</v>
      </c>
      <c r="AT7" s="14">
        <v>131</v>
      </c>
      <c r="AU7" s="14">
        <v>323</v>
      </c>
      <c r="AV7" s="14">
        <v>323</v>
      </c>
      <c r="AW7" s="16">
        <v>9.7100000000000009</v>
      </c>
      <c r="AX7" s="16">
        <v>9.7100000000000009</v>
      </c>
      <c r="AY7" s="13">
        <v>32.6</v>
      </c>
      <c r="AZ7" s="13">
        <v>32.6</v>
      </c>
      <c r="BA7" s="16">
        <v>1.81</v>
      </c>
      <c r="BB7" s="16">
        <v>0.92800000000000005</v>
      </c>
      <c r="BC7" s="16">
        <v>0.92800000000000005</v>
      </c>
      <c r="BD7" s="16">
        <v>0.68300000000000005</v>
      </c>
      <c r="BE7" s="16">
        <v>0.14000000000000001</v>
      </c>
      <c r="BF7" s="16">
        <v>0.55600000000000005</v>
      </c>
      <c r="BG7" s="16">
        <v>0.19700000000000001</v>
      </c>
      <c r="BH7" s="16">
        <v>0.55600000000000005</v>
      </c>
      <c r="BI7" s="16">
        <v>1.68</v>
      </c>
      <c r="BJ7" s="16">
        <v>0.13300000000000001</v>
      </c>
      <c r="BK7" s="16">
        <v>9.0300000000000005E-2</v>
      </c>
      <c r="BL7" s="16">
        <v>3.95E-2</v>
      </c>
      <c r="BM7" s="16">
        <v>0.50600000000000001</v>
      </c>
      <c r="BN7" s="16">
        <v>0.48</v>
      </c>
      <c r="BO7" s="16">
        <v>0.98199999999999998</v>
      </c>
      <c r="BP7" s="16">
        <v>0.14799999999999999</v>
      </c>
      <c r="BQ7" s="16">
        <v>2.5299999999999998</v>
      </c>
      <c r="BR7" s="16">
        <v>0.111</v>
      </c>
      <c r="BS7" s="8"/>
      <c r="BT7" s="8"/>
      <c r="BU7" s="8"/>
      <c r="BV7" s="8"/>
      <c r="BW7" s="2"/>
    </row>
    <row r="8" spans="1:75">
      <c r="A8" s="737" t="s">
        <v>313</v>
      </c>
      <c r="B8" s="737" t="s">
        <v>477</v>
      </c>
      <c r="C8" s="735">
        <f>AVERAGE(AR58:AR63)</f>
        <v>157100</v>
      </c>
      <c r="D8" s="735">
        <f>STDEV(AR58:AR63)</f>
        <v>0</v>
      </c>
      <c r="E8" s="735">
        <v>0</v>
      </c>
      <c r="F8" s="735">
        <f>AVERAGE(AR64:AR72)</f>
        <v>6100</v>
      </c>
      <c r="G8" s="735">
        <f>STDEV(AR64:AR72)</f>
        <v>0</v>
      </c>
      <c r="H8" s="735">
        <v>0</v>
      </c>
      <c r="I8" s="735">
        <f>AVERAGE(AR73:AR76)</f>
        <v>68900</v>
      </c>
      <c r="J8" s="735">
        <f>STDEV(AR73:AR76)</f>
        <v>0</v>
      </c>
      <c r="K8" s="735">
        <v>0</v>
      </c>
      <c r="L8" s="1337">
        <v>2.2801161103047893</v>
      </c>
      <c r="M8" s="903">
        <v>0</v>
      </c>
      <c r="N8" s="1338">
        <v>0</v>
      </c>
      <c r="O8" s="738">
        <v>0.874</v>
      </c>
      <c r="P8" s="738">
        <v>-0.51700000000000002</v>
      </c>
      <c r="Q8" s="778">
        <v>0.45948955400000002</v>
      </c>
      <c r="R8" s="781">
        <f t="shared" si="0"/>
        <v>0.14989699570024584</v>
      </c>
      <c r="S8" s="781">
        <f>O8*(((1-(2*C46))/(1-C46))^P8)</f>
        <v>2.0916004379350976</v>
      </c>
      <c r="T8" s="781">
        <f>O8*(((1-(2*C47))/(1-C47))^P8)</f>
        <v>2.6929889761953563</v>
      </c>
      <c r="U8" s="781">
        <v>0.23985161533333921</v>
      </c>
      <c r="V8" s="781">
        <v>0.36153692292691941</v>
      </c>
      <c r="W8" s="1362">
        <f t="shared" si="1"/>
        <v>2.3314520532684369</v>
      </c>
      <c r="X8" s="736">
        <f t="shared" si="2"/>
        <v>0.97798112858822028</v>
      </c>
      <c r="Y8" s="736">
        <f t="shared" si="3"/>
        <v>0</v>
      </c>
      <c r="Z8" s="736"/>
      <c r="AA8" s="736"/>
      <c r="AB8" s="905">
        <v>25.754098360655739</v>
      </c>
      <c r="AC8" s="736">
        <v>0</v>
      </c>
      <c r="AD8" s="910">
        <v>0</v>
      </c>
      <c r="AE8" s="570"/>
      <c r="AF8" s="570"/>
      <c r="AG8" s="916">
        <v>8.8534107402031936E-2</v>
      </c>
      <c r="AH8" s="917">
        <v>0</v>
      </c>
      <c r="AI8" s="918">
        <v>0</v>
      </c>
      <c r="AJ8" s="737" t="s">
        <v>477</v>
      </c>
      <c r="AL8" s="7" t="s">
        <v>1351</v>
      </c>
      <c r="AM8" s="16">
        <v>2.811915222477293</v>
      </c>
      <c r="AN8" s="16">
        <v>0.15583861536997626</v>
      </c>
      <c r="AO8" s="16">
        <v>4.3429072388124474</v>
      </c>
      <c r="AP8" s="16">
        <v>12.943575161622073</v>
      </c>
      <c r="AQ8" s="16">
        <v>0.29311637501871474</v>
      </c>
      <c r="AR8" s="17">
        <v>4.3981194897324905</v>
      </c>
      <c r="AS8" s="16">
        <v>6.4269674839675215</v>
      </c>
      <c r="AT8" s="16">
        <v>4.1346433295631715E-2</v>
      </c>
      <c r="AU8" s="16">
        <v>5.0939002726719119E-2</v>
      </c>
      <c r="AV8" s="16">
        <v>0.36688308898397287</v>
      </c>
      <c r="AW8" s="16">
        <v>2.9139629601234902E-2</v>
      </c>
      <c r="AX8" s="16">
        <v>4.5722734471773559E-2</v>
      </c>
      <c r="AY8" s="16">
        <v>0.41406195788635158</v>
      </c>
      <c r="AZ8" s="16">
        <v>0.96869586062074564</v>
      </c>
      <c r="BA8" s="16">
        <v>6.7340084229669223E-2</v>
      </c>
      <c r="BB8" s="16">
        <v>3.8378391619435147E-2</v>
      </c>
      <c r="BC8" s="16">
        <v>5.0089882759307661E-2</v>
      </c>
      <c r="BD8" s="16">
        <v>4.1602337268909807E-3</v>
      </c>
      <c r="BE8" s="16">
        <v>1.8561537671577249E-3</v>
      </c>
      <c r="BF8" s="16">
        <v>2.0298731978017681E-2</v>
      </c>
      <c r="BG8" s="16">
        <v>-3.0377841914520047</v>
      </c>
      <c r="BH8" s="16">
        <v>1.5084370258101725E-2</v>
      </c>
      <c r="BI8" s="16"/>
      <c r="BJ8" s="16"/>
      <c r="BK8" s="16">
        <v>2.5849938527682487E-2</v>
      </c>
      <c r="BL8" s="1391">
        <v>8.83952354274661E-3</v>
      </c>
      <c r="BM8" s="1391">
        <v>4.2123727362041122E-3</v>
      </c>
      <c r="BN8" s="1391">
        <v>2.4959553253928401E-3</v>
      </c>
      <c r="BO8" s="1391">
        <v>1.3984374802276486E-2</v>
      </c>
      <c r="BP8" s="16">
        <v>2.6579706777906411E-2</v>
      </c>
      <c r="BQ8" s="16"/>
      <c r="BR8" s="16"/>
      <c r="BS8" s="8"/>
      <c r="BT8" s="8"/>
      <c r="BU8" s="8"/>
      <c r="BV8" s="8"/>
      <c r="BW8" s="2"/>
    </row>
    <row r="9" spans="1:75" ht="17" customHeight="1">
      <c r="A9" s="737" t="s">
        <v>313</v>
      </c>
      <c r="B9" s="737" t="s">
        <v>475</v>
      </c>
      <c r="C9" s="750" t="e">
        <f>AVERAGE(AS58:AS63)</f>
        <v>#DIV/0!</v>
      </c>
      <c r="D9" s="750" t="e">
        <f>STDEV(AS58:AS63)</f>
        <v>#DIV/0!</v>
      </c>
      <c r="E9" s="750" t="e">
        <v>#DIV/0!</v>
      </c>
      <c r="F9" s="750" t="e">
        <f>AVERAGE(AS64:AS72)</f>
        <v>#DIV/0!</v>
      </c>
      <c r="G9" s="750" t="e">
        <f>STDEV(AS64:AS72)</f>
        <v>#DIV/0!</v>
      </c>
      <c r="H9" s="750" t="e">
        <v>#DIV/0!</v>
      </c>
      <c r="I9" s="750" t="e">
        <f>AVERAGE(AS73:AS76)</f>
        <v>#DIV/0!</v>
      </c>
      <c r="J9" s="750" t="e">
        <f>STDEV(AS73:AS76)</f>
        <v>#DIV/0!</v>
      </c>
      <c r="K9" s="750" t="e">
        <v>#DIV/0!</v>
      </c>
      <c r="L9" s="1337" t="e">
        <v>#DIV/0!</v>
      </c>
      <c r="M9" s="903" t="e">
        <v>#DIV/0!</v>
      </c>
      <c r="N9" s="1338" t="e">
        <v>#DIV/0!</v>
      </c>
      <c r="O9" s="738">
        <v>0.874</v>
      </c>
      <c r="P9" s="738">
        <v>-0.52</v>
      </c>
      <c r="Q9" s="778">
        <v>0.45948955400000002</v>
      </c>
      <c r="R9" s="781">
        <f t="shared" si="0"/>
        <v>0.14989699570024584</v>
      </c>
      <c r="S9" s="781">
        <f>O9*(((1-(2*C46))/(1-C46))^P9)</f>
        <v>2.1022180495326239</v>
      </c>
      <c r="T9" s="781">
        <f>O9*(((1-(2*C47))/(1-C47))^P9)</f>
        <v>2.7106315771592002</v>
      </c>
      <c r="U9" s="781">
        <v>0.24254580009985682</v>
      </c>
      <c r="V9" s="781">
        <v>0.36586772752671948</v>
      </c>
      <c r="W9" s="1362">
        <f t="shared" si="1"/>
        <v>2.3447638496324807</v>
      </c>
      <c r="X9" s="736" t="e">
        <f t="shared" si="2"/>
        <v>#DIV/0!</v>
      </c>
      <c r="Y9" s="736" t="e">
        <f t="shared" si="3"/>
        <v>#DIV/0!</v>
      </c>
      <c r="Z9" s="736"/>
      <c r="AA9" s="736"/>
      <c r="AB9" s="905" t="e">
        <v>#DIV/0!</v>
      </c>
      <c r="AC9" s="736" t="e">
        <v>#DIV/0!</v>
      </c>
      <c r="AD9" s="910" t="e">
        <v>#DIV/0!</v>
      </c>
      <c r="AE9" s="570"/>
      <c r="AF9" s="570"/>
      <c r="AG9" s="916" t="e">
        <v>#DIV/0!</v>
      </c>
      <c r="AH9" s="917" t="e">
        <v>#DIV/0!</v>
      </c>
      <c r="AI9" s="918" t="e">
        <v>#DIV/0!</v>
      </c>
      <c r="AJ9" s="737" t="s">
        <v>475</v>
      </c>
      <c r="AL9" s="79" t="s">
        <v>1352</v>
      </c>
      <c r="AM9" s="82">
        <v>1.2982974934762761</v>
      </c>
      <c r="AN9" s="82">
        <v>0.13427547482068919</v>
      </c>
      <c r="AO9" s="82">
        <v>0.99819984827054919</v>
      </c>
      <c r="AP9" s="82">
        <v>11.213159836174899</v>
      </c>
      <c r="AQ9" s="82">
        <v>0.27531024575863489</v>
      </c>
      <c r="AR9" s="1291">
        <v>4.6971019726418648</v>
      </c>
      <c r="AS9" s="82">
        <v>6.1355018073017948</v>
      </c>
      <c r="AT9" s="82">
        <v>4.2017444349272855E-2</v>
      </c>
      <c r="AU9" s="82">
        <v>9.0255375961771911E-3</v>
      </c>
      <c r="AV9" s="82">
        <v>6.563851787167993E-2</v>
      </c>
      <c r="AW9" s="82">
        <v>3.1696545693619405E-2</v>
      </c>
      <c r="AX9" s="82">
        <v>4.5661440730086371E-2</v>
      </c>
      <c r="AY9" s="82">
        <v>0.41660278464938993</v>
      </c>
      <c r="AZ9" s="82">
        <v>0.8900107871496199</v>
      </c>
      <c r="BA9" s="82">
        <v>5.9310494062366992E-2</v>
      </c>
      <c r="BB9" s="82">
        <v>4.0964351492083023E-2</v>
      </c>
      <c r="BC9" s="82">
        <v>6.1206549876213427E-2</v>
      </c>
      <c r="BD9" s="82">
        <v>6.9807645627592502E-3</v>
      </c>
      <c r="BE9" s="82">
        <v>2.2264144620690661E-3</v>
      </c>
      <c r="BF9" s="82">
        <v>2.4868876107534448E-2</v>
      </c>
      <c r="BG9" s="82">
        <v>-1.2200142752318011</v>
      </c>
      <c r="BH9" s="82">
        <v>1.6318890539671446E-2</v>
      </c>
      <c r="BI9" s="82"/>
      <c r="BJ9" s="82"/>
      <c r="BK9" s="82">
        <v>2.8733042131645039E-2</v>
      </c>
      <c r="BL9" s="1393">
        <v>8.246515346396914E-3</v>
      </c>
      <c r="BM9" s="82">
        <v>0</v>
      </c>
      <c r="BN9" s="82">
        <v>0</v>
      </c>
      <c r="BO9" s="1393">
        <v>7.287999823469728E-3</v>
      </c>
      <c r="BP9" s="82">
        <v>1.7587740563566212E-2</v>
      </c>
      <c r="BQ9" s="798"/>
      <c r="BR9" s="798"/>
      <c r="BS9" s="8"/>
      <c r="BT9" s="8"/>
      <c r="BU9" s="8"/>
      <c r="BV9" s="8"/>
      <c r="BW9" s="2"/>
    </row>
    <row r="10" spans="1:75">
      <c r="A10" s="435" t="s">
        <v>839</v>
      </c>
      <c r="B10" s="435" t="s">
        <v>9</v>
      </c>
      <c r="C10" s="1453">
        <f>AVERAGE(AT58:AT63)</f>
        <v>134.73922820068751</v>
      </c>
      <c r="D10" s="434">
        <f>STDEV(AT58:AT63)</f>
        <v>4.935806759399334</v>
      </c>
      <c r="E10" s="1453">
        <v>9.871613518798668</v>
      </c>
      <c r="F10" s="1453">
        <f>AVERAGE(AT64:AT72)</f>
        <v>143.07025883356093</v>
      </c>
      <c r="G10" s="434">
        <f>STDEV(AT64:AT72)</f>
        <v>48.83591412113541</v>
      </c>
      <c r="H10" s="1453">
        <v>97.67182824227082</v>
      </c>
      <c r="I10" s="1453">
        <f>AVERAGE(AT73:AT76)</f>
        <v>1272.1416640607342</v>
      </c>
      <c r="J10" s="434">
        <f>STDEV(AT73:AT76)</f>
        <v>318.85418018148783</v>
      </c>
      <c r="K10" s="1453">
        <v>637.70836036297567</v>
      </c>
      <c r="L10" s="930">
        <v>0.10591527029355657</v>
      </c>
      <c r="M10" s="570">
        <v>2.682901837285941E-2</v>
      </c>
      <c r="N10" s="879">
        <v>5.3658036745718819E-2</v>
      </c>
      <c r="O10" s="433">
        <v>0.77</v>
      </c>
      <c r="P10" s="433">
        <v>1.39</v>
      </c>
      <c r="Q10" s="778">
        <v>0.45948955400000002</v>
      </c>
      <c r="R10" s="570">
        <f t="shared" si="0"/>
        <v>0.14989699570024584</v>
      </c>
      <c r="S10" s="1358">
        <f>O10*(((1-(2*C47))/(1-C47))^P10)</f>
        <v>3.7369350000587498E-2</v>
      </c>
      <c r="T10" s="1358">
        <f>O10*(((1-(2*C46))/(1-C46))^P10)</f>
        <v>7.3723137576729769E-2</v>
      </c>
      <c r="U10" s="1358">
        <v>1.7691498026471249E-2</v>
      </c>
      <c r="V10" s="1358">
        <v>1.8662289549671023E-2</v>
      </c>
      <c r="W10" s="883">
        <f t="shared" si="1"/>
        <v>5.5060848027058747E-2</v>
      </c>
      <c r="X10" s="433">
        <f t="shared" si="2"/>
        <v>1.9236040505861127</v>
      </c>
      <c r="Y10" s="433">
        <f>X10*(M10/L10)</f>
        <v>0.48726126338763859</v>
      </c>
      <c r="Z10" s="433"/>
      <c r="AA10" s="433"/>
      <c r="AB10" s="873">
        <v>0.94176965428876991</v>
      </c>
      <c r="AC10" s="573">
        <v>0.32331160588970387</v>
      </c>
      <c r="AD10" s="910">
        <v>0.64662321177940774</v>
      </c>
      <c r="AE10" s="570"/>
      <c r="AF10" s="570"/>
      <c r="AG10" s="913">
        <v>0.11246409332815509</v>
      </c>
      <c r="AH10" s="914">
        <v>4.762647927545819E-2</v>
      </c>
      <c r="AI10" s="915">
        <v>9.5252958550916381E-2</v>
      </c>
      <c r="AJ10" s="435" t="s">
        <v>9</v>
      </c>
      <c r="AL10" s="7" t="s">
        <v>38</v>
      </c>
      <c r="AM10" s="14"/>
      <c r="AN10" s="14">
        <v>142.86774881155631</v>
      </c>
      <c r="AO10" s="18"/>
      <c r="AP10" s="18" t="s">
        <v>1242</v>
      </c>
      <c r="AQ10" s="14">
        <v>366.74864513478661</v>
      </c>
      <c r="AR10" s="15">
        <v>459</v>
      </c>
      <c r="AS10" s="723" t="s">
        <v>1250</v>
      </c>
      <c r="AT10" s="14">
        <v>357.29563346538913</v>
      </c>
      <c r="AU10" s="14"/>
      <c r="AV10" s="16"/>
      <c r="AW10" s="14">
        <v>429.51515536441747</v>
      </c>
      <c r="AX10" s="14">
        <v>351.71949243230853</v>
      </c>
      <c r="AY10" s="14">
        <v>269.82752537171825</v>
      </c>
      <c r="AZ10" s="14">
        <v>395.81854431024038</v>
      </c>
      <c r="BA10" s="14">
        <v>226.82733082065772</v>
      </c>
      <c r="BB10" s="14">
        <v>381.54863152457602</v>
      </c>
      <c r="BC10" s="14">
        <v>308.67470616979148</v>
      </c>
      <c r="BD10" s="16">
        <v>6.3182161027764963E-3</v>
      </c>
      <c r="BE10" s="13">
        <v>1.0521472365897138</v>
      </c>
      <c r="BF10" s="14">
        <v>14.734252653705552</v>
      </c>
      <c r="BG10" s="16"/>
      <c r="BH10" s="13">
        <v>5.4473502556627151</v>
      </c>
      <c r="BI10" s="16"/>
      <c r="BJ10" s="16"/>
      <c r="BK10" s="14">
        <v>410.26852923880784</v>
      </c>
      <c r="BL10" s="14">
        <v>47.931791837850341</v>
      </c>
      <c r="BM10" s="16">
        <v>2.8238407009207885E-2</v>
      </c>
      <c r="BN10" s="16">
        <v>0.20147341660814361</v>
      </c>
      <c r="BO10" s="13">
        <v>2.7264996944379551</v>
      </c>
      <c r="BP10" s="14">
        <v>27.830396015233585</v>
      </c>
      <c r="BQ10" s="16"/>
      <c r="BR10" s="16"/>
      <c r="BS10" s="8"/>
      <c r="BT10" s="13">
        <v>44.8090019226075</v>
      </c>
      <c r="BU10" s="19">
        <v>1.0050918028529809</v>
      </c>
      <c r="BV10" s="8"/>
      <c r="BW10" s="2" t="s">
        <v>39</v>
      </c>
    </row>
    <row r="11" spans="1:75" ht="17" thickBot="1">
      <c r="A11" s="435" t="s">
        <v>313</v>
      </c>
      <c r="B11" s="435" t="s">
        <v>468</v>
      </c>
      <c r="C11" s="1453">
        <f>AVERAGE(AU58:AU63)</f>
        <v>44.193607203542904</v>
      </c>
      <c r="D11" s="434">
        <f>STDEV(AU58:AU63)</f>
        <v>3.5911495737409598</v>
      </c>
      <c r="E11" s="1453">
        <v>7.1822991474819196</v>
      </c>
      <c r="F11" s="1453">
        <f>AVERAGE(AU64:AU72)</f>
        <v>228.55435445521471</v>
      </c>
      <c r="G11" s="434">
        <f>STDEV(AU64:AU72)</f>
        <v>101.79999555173622</v>
      </c>
      <c r="H11" s="1453">
        <v>203.59999110347243</v>
      </c>
      <c r="I11" s="1453">
        <f>AVERAGE(AU73:AU76)</f>
        <v>424.83647783602527</v>
      </c>
      <c r="J11" s="434">
        <f>STDEV(AU73:AU76)</f>
        <v>203.51104131992849</v>
      </c>
      <c r="K11" s="1453">
        <v>407.02208263985699</v>
      </c>
      <c r="L11" s="930">
        <v>0.10402498257364889</v>
      </c>
      <c r="M11" s="570">
        <v>5.0543351364931384E-2</v>
      </c>
      <c r="N11" s="879">
        <v>0.10108670272986277</v>
      </c>
      <c r="O11" s="433">
        <v>0.66</v>
      </c>
      <c r="P11" s="433">
        <v>0.99</v>
      </c>
      <c r="Q11" s="778">
        <v>0.45948955400000002</v>
      </c>
      <c r="R11" s="570">
        <f t="shared" si="0"/>
        <v>0.14989699570024584</v>
      </c>
      <c r="S11" s="1358">
        <f>O11*(((1-(2*C47))/(1-C47))^P11)</f>
        <v>7.6505227079887564E-2</v>
      </c>
      <c r="T11" s="1358">
        <f>O11*(((1-(2*C46))/(1-C46))^P11)</f>
        <v>0.12412575069841369</v>
      </c>
      <c r="U11" s="1358">
        <v>2.4322258016901813E-2</v>
      </c>
      <c r="V11" s="1358">
        <v>2.3298265601624318E-2</v>
      </c>
      <c r="W11" s="888">
        <f t="shared" si="1"/>
        <v>0.10082748509678938</v>
      </c>
      <c r="X11" s="433">
        <f t="shared" si="2"/>
        <v>1.0317125580766997</v>
      </c>
      <c r="Y11" s="433">
        <f t="shared" si="3"/>
        <v>0.50128545124786439</v>
      </c>
      <c r="Z11" s="433"/>
      <c r="AA11" s="433"/>
      <c r="AB11" s="885">
        <v>0.19336147547432816</v>
      </c>
      <c r="AC11" s="570">
        <v>8.754634094042589E-2</v>
      </c>
      <c r="AD11" s="910">
        <v>0.17509268188085178</v>
      </c>
      <c r="AE11" s="570"/>
      <c r="AF11" s="570"/>
      <c r="AG11" s="912">
        <v>0.53798194453403347</v>
      </c>
      <c r="AH11" s="909">
        <v>0.3519002007512127</v>
      </c>
      <c r="AI11" s="904">
        <v>0.7038004015024254</v>
      </c>
      <c r="AJ11" s="435" t="s">
        <v>468</v>
      </c>
      <c r="AL11" s="7" t="s">
        <v>40</v>
      </c>
      <c r="AM11" s="14"/>
      <c r="AN11" s="14">
        <v>139.18568493172131</v>
      </c>
      <c r="AO11" s="18"/>
      <c r="AP11" s="18" t="s">
        <v>1243</v>
      </c>
      <c r="AQ11" s="14">
        <v>340.87237094215453</v>
      </c>
      <c r="AR11" s="15">
        <v>459</v>
      </c>
      <c r="AS11" s="723" t="s">
        <v>1251</v>
      </c>
      <c r="AT11" s="14">
        <v>339.25636757772213</v>
      </c>
      <c r="AU11" s="14"/>
      <c r="AV11" s="16"/>
      <c r="AW11" s="14">
        <v>430.5036443863396</v>
      </c>
      <c r="AX11" s="14">
        <v>339.85632920314765</v>
      </c>
      <c r="AY11" s="14">
        <v>264.45361399348002</v>
      </c>
      <c r="AZ11" s="14">
        <v>385.28898267015012</v>
      </c>
      <c r="BA11" s="14">
        <v>233.69097247737136</v>
      </c>
      <c r="BB11" s="14">
        <v>343.36973780686685</v>
      </c>
      <c r="BC11" s="14">
        <v>295.30611853010237</v>
      </c>
      <c r="BD11" s="18">
        <v>0.09</v>
      </c>
      <c r="BE11" s="13">
        <v>1.0066170079503978</v>
      </c>
      <c r="BF11" s="14">
        <v>11.854629708718434</v>
      </c>
      <c r="BG11" s="16"/>
      <c r="BH11" s="13">
        <v>4.6306286619193227</v>
      </c>
      <c r="BI11" s="16"/>
      <c r="BJ11" s="16"/>
      <c r="BK11" s="14">
        <v>390.78055128990246</v>
      </c>
      <c r="BL11" s="14">
        <v>46.714643270747025</v>
      </c>
      <c r="BM11" s="16">
        <v>4.1184636426735019E-2</v>
      </c>
      <c r="BN11" s="16">
        <v>0.18978779708061708</v>
      </c>
      <c r="BO11" s="13">
        <v>2.820942182786121</v>
      </c>
      <c r="BP11" s="14">
        <v>25.815057553081477</v>
      </c>
      <c r="BQ11" s="16"/>
      <c r="BR11" s="16"/>
      <c r="BS11" s="8"/>
      <c r="BT11" s="13">
        <v>39.377002716064496</v>
      </c>
      <c r="BU11" s="19">
        <v>1.753719653923278</v>
      </c>
      <c r="BV11" s="8"/>
      <c r="BW11" s="2" t="s">
        <v>42</v>
      </c>
    </row>
    <row r="12" spans="1:75">
      <c r="A12" s="435" t="s">
        <v>313</v>
      </c>
      <c r="B12" s="890" t="s">
        <v>461</v>
      </c>
      <c r="C12" s="720">
        <f>AVERAGE(AV58:AV63)</f>
        <v>32.788627563642002</v>
      </c>
      <c r="D12" s="720">
        <f>STDEV(AV58:AV63)</f>
        <v>5.2414643531875091</v>
      </c>
      <c r="E12" s="720">
        <v>10.482928706375018</v>
      </c>
      <c r="F12" s="434">
        <f>AVERAGE(AV64:AV72)</f>
        <v>167.30414289347718</v>
      </c>
      <c r="G12" s="434">
        <f>STDEV(AV64:AV72)</f>
        <v>76.841073231929897</v>
      </c>
      <c r="H12" s="434">
        <v>153.68214646385979</v>
      </c>
      <c r="I12" s="434">
        <f>AVERAGE(AV73:AV76)</f>
        <v>293.04348545892572</v>
      </c>
      <c r="J12" s="434">
        <f>STDEV(AV73:AV76)</f>
        <v>131.3185854501555</v>
      </c>
      <c r="K12" s="434">
        <v>262.63717090031099</v>
      </c>
      <c r="L12" s="930">
        <v>0.11188997261717938</v>
      </c>
      <c r="M12" s="570">
        <v>5.3234862199738539E-2</v>
      </c>
      <c r="N12" s="879">
        <v>0.10646972439947708</v>
      </c>
      <c r="O12" s="433">
        <v>0.66</v>
      </c>
      <c r="P12" s="433">
        <v>0.99</v>
      </c>
      <c r="Q12" s="778">
        <v>0.45948955400000002</v>
      </c>
      <c r="R12" s="570">
        <f t="shared" si="0"/>
        <v>0.14989699570024584</v>
      </c>
      <c r="S12" s="800">
        <f>O12*(((1-(2*C47))/(1-C47))^P12)</f>
        <v>7.6505227079887564E-2</v>
      </c>
      <c r="T12" s="800">
        <f>O12*(((1-(2*C46))/(1-C46))^P12)</f>
        <v>0.12412575069841369</v>
      </c>
      <c r="U12" s="800">
        <v>2.4322258016901813E-2</v>
      </c>
      <c r="V12" s="800">
        <v>2.3298265601624318E-2</v>
      </c>
      <c r="W12" s="888">
        <f t="shared" si="1"/>
        <v>0.10082748509678938</v>
      </c>
      <c r="X12" s="433">
        <f t="shared" si="2"/>
        <v>1.1097169835166529</v>
      </c>
      <c r="Y12" s="433">
        <f t="shared" si="3"/>
        <v>0.52797966892296999</v>
      </c>
      <c r="Z12" s="433"/>
      <c r="AA12" s="433"/>
      <c r="AB12" s="885">
        <v>0.19598216156857859</v>
      </c>
      <c r="AC12" s="570">
        <v>9.5308815785679318E-2</v>
      </c>
      <c r="AD12" s="910">
        <v>0.19061763157135864</v>
      </c>
      <c r="AE12" s="570"/>
      <c r="AF12" s="570"/>
      <c r="AG12" s="912">
        <v>0.57091916795716402</v>
      </c>
      <c r="AH12" s="909">
        <v>0.36634971302482672</v>
      </c>
      <c r="AI12" s="904">
        <v>0.73269942604965344</v>
      </c>
      <c r="AJ12" s="890" t="s">
        <v>461</v>
      </c>
      <c r="AL12" s="20" t="s">
        <v>96</v>
      </c>
      <c r="AM12" s="21"/>
      <c r="AN12" s="22">
        <v>26.889811190771379</v>
      </c>
      <c r="AO12" s="23"/>
      <c r="AP12" s="22">
        <v>1022050.3057252601</v>
      </c>
      <c r="AQ12" s="22">
        <v>5088.3088537867516</v>
      </c>
      <c r="AR12" s="24">
        <v>55500</v>
      </c>
      <c r="AS12" s="22">
        <v>55960.466182864133</v>
      </c>
      <c r="AT12" s="22">
        <v>152.9248787224623</v>
      </c>
      <c r="AU12" s="22"/>
      <c r="AV12" s="22"/>
      <c r="AW12" s="22">
        <v>65.091718424769212</v>
      </c>
      <c r="AX12" s="22">
        <v>63.762966393286433</v>
      </c>
      <c r="AY12" s="22">
        <v>194.06452964514722</v>
      </c>
      <c r="AZ12" s="22">
        <v>198.79011052489989</v>
      </c>
      <c r="BA12" s="25">
        <v>5.0028798260840146</v>
      </c>
      <c r="BB12" s="25">
        <v>5.5260983047229209</v>
      </c>
      <c r="BC12" s="25">
        <v>6.272718400365398</v>
      </c>
      <c r="BD12" s="22">
        <v>21.021365643395644</v>
      </c>
      <c r="BE12" s="25">
        <v>2.1182904264708888</v>
      </c>
      <c r="BF12" s="25">
        <v>1.3425872550120479</v>
      </c>
      <c r="BG12" s="26"/>
      <c r="BH12" s="25">
        <v>1.4548770877804569</v>
      </c>
      <c r="BI12" s="26"/>
      <c r="BJ12" s="26"/>
      <c r="BK12" s="25">
        <v>2.8834394153600877</v>
      </c>
      <c r="BL12" s="25">
        <v>1.1193746397098592</v>
      </c>
      <c r="BM12" s="25">
        <v>10.634722663673866</v>
      </c>
      <c r="BN12" s="22">
        <v>15.749370092114821</v>
      </c>
      <c r="BO12" s="22">
        <v>32.358494828359703</v>
      </c>
      <c r="BP12" s="26">
        <v>0.95119404794483808</v>
      </c>
      <c r="BQ12" s="26"/>
      <c r="BR12" s="26"/>
      <c r="BS12" s="27"/>
      <c r="BT12" s="25">
        <v>46.845001220703196</v>
      </c>
      <c r="BU12" s="28">
        <v>0.96113146155665785</v>
      </c>
      <c r="BV12" s="27"/>
      <c r="BW12" s="29" t="s">
        <v>44</v>
      </c>
    </row>
    <row r="13" spans="1:75" ht="17" thickBot="1">
      <c r="A13" s="435" t="s">
        <v>313</v>
      </c>
      <c r="B13" s="435" t="s">
        <v>457</v>
      </c>
      <c r="C13" s="1453">
        <f>AVERAGE(AW58:AW63)</f>
        <v>154.79789391876008</v>
      </c>
      <c r="D13" s="434">
        <f>STDEV(AW58:AW63)</f>
        <v>9.1315024712930786</v>
      </c>
      <c r="E13" s="1453">
        <v>18.263004942586157</v>
      </c>
      <c r="F13" s="1558">
        <f>AVERAGE(AW64:AW72)</f>
        <v>4.4636376525077246</v>
      </c>
      <c r="G13" s="802">
        <f>STDEV(AW64:AW72)</f>
        <v>5.1424066882626622</v>
      </c>
      <c r="H13" s="1558">
        <v>10.284813376525324</v>
      </c>
      <c r="I13" s="1440">
        <f>AVERAGE(AW73:AW76)</f>
        <v>1.9230894498447222</v>
      </c>
      <c r="J13" s="434">
        <f>STDEV(AW73:AW76)</f>
        <v>0.8313213549272247</v>
      </c>
      <c r="K13" s="1440">
        <v>1.6626427098544494</v>
      </c>
      <c r="L13" s="930">
        <v>80.494380503860114</v>
      </c>
      <c r="M13" s="570">
        <v>35.118943359090778</v>
      </c>
      <c r="N13" s="879">
        <v>70.237886718181556</v>
      </c>
      <c r="O13" s="433">
        <v>0.76</v>
      </c>
      <c r="P13" s="433">
        <v>-2.81</v>
      </c>
      <c r="Q13" s="778">
        <v>0.45948955400000002</v>
      </c>
      <c r="R13" s="570">
        <f t="shared" si="0"/>
        <v>0.14989699570024584</v>
      </c>
      <c r="S13" s="570" cm="1">
        <f t="array" ref="S13:S22">O13:O22*(((1-(2*C46))/(1-C46))^P13:P22)</f>
        <v>87.212309553821953</v>
      </c>
      <c r="T13" s="570" cm="1">
        <f t="array" ref="T13:T22">O13:O22*(((1-(2*C47))/(1-C47))^P13:P22)</f>
        <v>344.44757498617872</v>
      </c>
      <c r="U13" s="570">
        <v>70.126356152058364</v>
      </c>
      <c r="V13" s="570">
        <v>187.10890928029841</v>
      </c>
      <c r="W13" s="888">
        <f t="shared" si="1"/>
        <v>157.33866570588032</v>
      </c>
      <c r="X13" s="721">
        <f t="shared" si="2"/>
        <v>0.51159948600512217</v>
      </c>
      <c r="Y13" s="433">
        <f>X13*(M13/L13)</f>
        <v>0.22320605810106509</v>
      </c>
      <c r="Z13" s="433"/>
      <c r="AA13" s="433"/>
      <c r="AB13" s="857">
        <v>34.679762554604494</v>
      </c>
      <c r="AC13" s="406">
        <v>40.005727671502925</v>
      </c>
      <c r="AD13" s="909">
        <v>80.011455343005849</v>
      </c>
      <c r="AE13" s="721">
        <f>AVERAGE(AW64,AW65,0.17,AW67,0.36, 0.4,AW70,AW71,AW72)/I13</f>
        <v>1.6011172899872657</v>
      </c>
      <c r="AF13" s="570"/>
      <c r="AG13" s="912">
        <v>2.3210764599993703</v>
      </c>
      <c r="AH13" s="909">
        <v>2.8560810994490415</v>
      </c>
      <c r="AI13" s="904">
        <v>5.7121621988980831</v>
      </c>
      <c r="AJ13" s="435" t="s">
        <v>457</v>
      </c>
      <c r="AL13" s="30" t="s">
        <v>97</v>
      </c>
      <c r="AM13" s="31"/>
      <c r="AN13" s="32">
        <v>19.570338820521389</v>
      </c>
      <c r="AO13" s="32"/>
      <c r="AP13" s="32">
        <v>868876.01353744848</v>
      </c>
      <c r="AQ13" s="32">
        <v>4193.9619648970493</v>
      </c>
      <c r="AR13" s="33">
        <v>55500</v>
      </c>
      <c r="AS13" s="32">
        <v>55039.378252395327</v>
      </c>
      <c r="AT13" s="32">
        <v>139.72027941646866</v>
      </c>
      <c r="AU13" s="32"/>
      <c r="AV13" s="32"/>
      <c r="AW13" s="32">
        <v>51.98262672019203</v>
      </c>
      <c r="AX13" s="32">
        <v>53.292815862214752</v>
      </c>
      <c r="AY13" s="32">
        <v>163.06162887100155</v>
      </c>
      <c r="AZ13" s="32">
        <v>158.44792023322759</v>
      </c>
      <c r="BA13" s="34">
        <v>3.6867216981409667</v>
      </c>
      <c r="BB13" s="34">
        <v>7.3747619903678796</v>
      </c>
      <c r="BC13" s="34">
        <v>6.6427245969297664</v>
      </c>
      <c r="BD13" s="32">
        <v>19.349455281374357</v>
      </c>
      <c r="BE13" s="34">
        <v>2.1198874699544139</v>
      </c>
      <c r="BF13" s="34">
        <v>1.5420098110645533</v>
      </c>
      <c r="BG13" s="35"/>
      <c r="BH13" s="34">
        <v>1.4312338583100406</v>
      </c>
      <c r="BI13" s="35"/>
      <c r="BJ13" s="35"/>
      <c r="BK13" s="34">
        <v>2.8685299628331622</v>
      </c>
      <c r="BL13" s="34">
        <v>1.1807274458863677</v>
      </c>
      <c r="BM13" s="34">
        <v>8.4185025923054795</v>
      </c>
      <c r="BN13" s="32">
        <v>14.728320747301026</v>
      </c>
      <c r="BO13" s="32">
        <v>28.394882800997873</v>
      </c>
      <c r="BP13" s="36" t="s">
        <v>46</v>
      </c>
      <c r="BQ13" s="35"/>
      <c r="BR13" s="35"/>
      <c r="BS13" s="37"/>
      <c r="BT13" s="34">
        <v>46.166000366210994</v>
      </c>
      <c r="BU13" s="38">
        <v>1.0105634309382328</v>
      </c>
      <c r="BV13" s="37"/>
      <c r="BW13" s="39" t="s">
        <v>47</v>
      </c>
    </row>
    <row r="14" spans="1:75">
      <c r="A14" s="435" t="s">
        <v>313</v>
      </c>
      <c r="B14" s="435" t="s">
        <v>832</v>
      </c>
      <c r="C14" s="434">
        <f>AVERAGE(AX58:AX63)</f>
        <v>193.95059071344426</v>
      </c>
      <c r="D14" s="434">
        <f>STDEV(AX58:AX63)</f>
        <v>10.953611814522727</v>
      </c>
      <c r="E14" s="434">
        <v>21.907223629045454</v>
      </c>
      <c r="F14" s="807">
        <f>AVERAGE(AX64:AX72)</f>
        <v>6.4500139471169406</v>
      </c>
      <c r="G14" s="405">
        <f>STDEV(AX64:AX72)</f>
        <v>6.3492984155445757</v>
      </c>
      <c r="H14" s="405">
        <v>12.698596831089151</v>
      </c>
      <c r="I14" s="434">
        <f>AVERAGE(AX73:AX76)</f>
        <v>2.4341396577694581</v>
      </c>
      <c r="J14" s="434">
        <f>STDEV(AX73:AX76)</f>
        <v>1.2323052887201407</v>
      </c>
      <c r="K14" s="434">
        <v>2.4646105774402813</v>
      </c>
      <c r="L14" s="930">
        <v>79.67931917726213</v>
      </c>
      <c r="M14" s="570">
        <v>40.588603138925421</v>
      </c>
      <c r="N14" s="879">
        <v>81.177206277850843</v>
      </c>
      <c r="O14" s="433">
        <v>0.76</v>
      </c>
      <c r="P14" s="433">
        <v>-2.81</v>
      </c>
      <c r="Q14" s="778">
        <v>0.45948955400000002</v>
      </c>
      <c r="R14" s="570">
        <f t="shared" si="0"/>
        <v>0.14989699570024584</v>
      </c>
      <c r="S14" s="570">
        <v>87.212309553821953</v>
      </c>
      <c r="T14" s="570">
        <v>344.44757498617872</v>
      </c>
      <c r="U14" s="570">
        <v>70.126356152058364</v>
      </c>
      <c r="V14" s="570">
        <v>187.10890928029841</v>
      </c>
      <c r="W14" s="888">
        <f t="shared" si="1"/>
        <v>157.33866570588032</v>
      </c>
      <c r="X14" s="721">
        <f t="shared" si="2"/>
        <v>0.50641918704338051</v>
      </c>
      <c r="Y14" s="433">
        <f t="shared" si="3"/>
        <v>0.2579696666221854</v>
      </c>
      <c r="Z14" s="433"/>
      <c r="AA14" s="433"/>
      <c r="AB14" s="857">
        <v>30.069794004110218</v>
      </c>
      <c r="AC14" s="406">
        <v>29.648936421473259</v>
      </c>
      <c r="AD14" s="909">
        <v>59.297872842946518</v>
      </c>
      <c r="AE14" s="570"/>
      <c r="AF14" s="570"/>
      <c r="AG14" s="912">
        <v>2.6498126048476029</v>
      </c>
      <c r="AH14" s="909">
        <v>2.9331791994939063</v>
      </c>
      <c r="AI14" s="904">
        <v>5.8663583989878125</v>
      </c>
      <c r="AJ14" s="435" t="s">
        <v>832</v>
      </c>
      <c r="AL14" s="40" t="s">
        <v>48</v>
      </c>
      <c r="AM14" s="41"/>
      <c r="AN14" s="42">
        <v>91.512238629172771</v>
      </c>
      <c r="AO14" s="42"/>
      <c r="AP14" s="42">
        <v>536240.31135039602</v>
      </c>
      <c r="AQ14" s="42">
        <v>2519.2263722092175</v>
      </c>
      <c r="AR14" s="43">
        <v>56500</v>
      </c>
      <c r="AS14" s="42">
        <v>56546.203050607612</v>
      </c>
      <c r="AT14" s="42">
        <v>119.64028302014127</v>
      </c>
      <c r="AU14" s="42"/>
      <c r="AV14" s="44"/>
      <c r="AW14" s="42">
        <v>30.369659671525191</v>
      </c>
      <c r="AX14" s="42">
        <v>29.179236600709672</v>
      </c>
      <c r="AY14" s="42">
        <v>90.001656260056848</v>
      </c>
      <c r="AZ14" s="42">
        <v>94.20535059378085</v>
      </c>
      <c r="BA14" s="45">
        <v>2.9061191194210299</v>
      </c>
      <c r="BB14" s="42">
        <v>9.47619911772337</v>
      </c>
      <c r="BC14" s="42">
        <v>7.5403192063646687</v>
      </c>
      <c r="BD14" s="42">
        <v>11.433699485907635</v>
      </c>
      <c r="BE14" s="45">
        <v>1.2084604034464288</v>
      </c>
      <c r="BF14" s="45">
        <v>1.2245691411205248</v>
      </c>
      <c r="BG14" s="44"/>
      <c r="BH14" s="45">
        <v>1.1395061094655183</v>
      </c>
      <c r="BI14" s="44"/>
      <c r="BJ14" s="44"/>
      <c r="BK14" s="45">
        <v>1.2328734401081296</v>
      </c>
      <c r="BL14" s="46" t="s">
        <v>49</v>
      </c>
      <c r="BM14" s="44">
        <v>0.71129657749890951</v>
      </c>
      <c r="BN14" s="45">
        <v>1.8687871131194695</v>
      </c>
      <c r="BO14" s="42">
        <v>12.839628192077656</v>
      </c>
      <c r="BP14" s="45">
        <v>1.6742488106299864</v>
      </c>
      <c r="BQ14" s="44"/>
      <c r="BR14" s="44"/>
      <c r="BS14" s="47"/>
      <c r="BT14" s="45">
        <v>42.093002319335994</v>
      </c>
      <c r="BU14" s="48">
        <v>1.1603825309387332</v>
      </c>
      <c r="BV14" s="47"/>
      <c r="BW14" s="49" t="s">
        <v>50</v>
      </c>
    </row>
    <row r="15" spans="1:75">
      <c r="A15" s="435" t="s">
        <v>313</v>
      </c>
      <c r="B15" s="435" t="s">
        <v>453</v>
      </c>
      <c r="C15" s="405">
        <f>AVERAGE(AY58:AY63)</f>
        <v>751.75760685819989</v>
      </c>
      <c r="D15" s="405">
        <f>STDEV(AY58:AY63)</f>
        <v>852.20238949313136</v>
      </c>
      <c r="E15" s="405">
        <v>1704.4047789862627</v>
      </c>
      <c r="F15" s="1453">
        <f>AVERAGE(AY64:AY72)</f>
        <v>17.183255042523665</v>
      </c>
      <c r="G15" s="434">
        <f>STDEV(AY64:AY72)</f>
        <v>6.9693533759622808</v>
      </c>
      <c r="H15" s="1453">
        <v>13.938706751924562</v>
      </c>
      <c r="I15" s="1467">
        <f>AVERAGE(AY73:AY76)</f>
        <v>24.070306101518899</v>
      </c>
      <c r="J15" s="720">
        <f>STDEV(AY73:AY76)</f>
        <v>8.3918598415451466</v>
      </c>
      <c r="K15" s="1467">
        <v>16.783719683090293</v>
      </c>
      <c r="L15" s="1323">
        <v>31.231742699390185</v>
      </c>
      <c r="M15" s="571">
        <v>37.041275139042455</v>
      </c>
      <c r="N15" s="862">
        <v>74.082550278084909</v>
      </c>
      <c r="O15" s="433">
        <v>0.63</v>
      </c>
      <c r="P15" s="433">
        <v>-3.23</v>
      </c>
      <c r="Q15" s="778">
        <v>0.45948955400000002</v>
      </c>
      <c r="R15" s="570">
        <f t="shared" si="0"/>
        <v>0.14989699570024584</v>
      </c>
      <c r="S15" s="570">
        <v>146.88243237379447</v>
      </c>
      <c r="T15" s="570">
        <v>712.32561344688645</v>
      </c>
      <c r="U15" s="570">
        <v>142.53813462925251</v>
      </c>
      <c r="V15" s="570">
        <v>422.90504644383947</v>
      </c>
      <c r="W15" s="888">
        <f t="shared" si="1"/>
        <v>289.42056700304698</v>
      </c>
      <c r="X15" s="721">
        <f t="shared" si="2"/>
        <v>0.10791127604646487</v>
      </c>
      <c r="Y15" s="433">
        <f t="shared" si="3"/>
        <v>0.12798425323606144</v>
      </c>
      <c r="Z15" s="433"/>
      <c r="AA15" s="433"/>
      <c r="AB15" s="857">
        <v>43.749429604450015</v>
      </c>
      <c r="AC15" s="406">
        <v>52.673697734349233</v>
      </c>
      <c r="AD15" s="909">
        <v>105.34739546869847</v>
      </c>
      <c r="AE15" s="570"/>
      <c r="AF15" s="570"/>
      <c r="AG15" s="912">
        <v>0.71387771181851978</v>
      </c>
      <c r="AH15" s="909">
        <v>0.38180954817041129</v>
      </c>
      <c r="AI15" s="904">
        <v>0.76361909634082259</v>
      </c>
      <c r="AJ15" s="435" t="s">
        <v>453</v>
      </c>
      <c r="AL15" s="50" t="s">
        <v>51</v>
      </c>
      <c r="AM15" s="51"/>
      <c r="AN15" s="722" t="s">
        <v>1244</v>
      </c>
      <c r="AO15" s="52"/>
      <c r="AP15" s="53">
        <v>847134.32148535002</v>
      </c>
      <c r="AQ15" s="53">
        <v>610.89630737388063</v>
      </c>
      <c r="AR15" s="54">
        <v>157100</v>
      </c>
      <c r="AS15" s="53">
        <v>148461.95303822044</v>
      </c>
      <c r="AT15" s="53">
        <v>111.26674268645836</v>
      </c>
      <c r="AU15" s="53"/>
      <c r="AV15" s="52"/>
      <c r="AW15" s="53">
        <v>169.36316821260812</v>
      </c>
      <c r="AX15" s="53">
        <v>162.71751139406265</v>
      </c>
      <c r="AY15" s="53">
        <v>325.96746931705997</v>
      </c>
      <c r="AZ15" s="53">
        <v>372.99554636706131</v>
      </c>
      <c r="BA15" s="53">
        <v>92.985102198952475</v>
      </c>
      <c r="BB15" s="53">
        <v>281.47564556707317</v>
      </c>
      <c r="BC15" s="53">
        <v>239.8674004051536</v>
      </c>
      <c r="BD15" s="53">
        <v>361.27338705791186</v>
      </c>
      <c r="BE15" s="53">
        <v>257.28435112335023</v>
      </c>
      <c r="BF15" s="53">
        <v>213.9515995639554</v>
      </c>
      <c r="BG15" s="52"/>
      <c r="BH15" s="53">
        <v>178.98449524508601</v>
      </c>
      <c r="BI15" s="52"/>
      <c r="BJ15" s="52"/>
      <c r="BK15" s="53">
        <v>282.24945291408693</v>
      </c>
      <c r="BL15" s="53">
        <v>271.91290797305948</v>
      </c>
      <c r="BM15" s="53">
        <v>172.48346201480473</v>
      </c>
      <c r="BN15" s="53">
        <v>227.79981209696814</v>
      </c>
      <c r="BO15" s="53">
        <v>598.33370532534195</v>
      </c>
      <c r="BP15" s="53">
        <v>275.22784539908389</v>
      </c>
      <c r="BQ15" s="52"/>
      <c r="BR15" s="52"/>
      <c r="BS15" s="55"/>
      <c r="BT15" s="56">
        <v>20.366998672485401</v>
      </c>
      <c r="BU15" s="57">
        <v>1.3193621260908781</v>
      </c>
      <c r="BV15" s="55"/>
      <c r="BW15" s="58" t="s">
        <v>52</v>
      </c>
    </row>
    <row r="16" spans="1:75">
      <c r="A16" s="733" t="s">
        <v>313</v>
      </c>
      <c r="B16" s="733" t="s">
        <v>449</v>
      </c>
      <c r="C16" s="405">
        <f>AVERAGE(AZ58:AZ63)</f>
        <v>631.90893910137959</v>
      </c>
      <c r="D16" s="405">
        <f>STDEV(AZ58:AZ63)</f>
        <v>772.12138462776534</v>
      </c>
      <c r="E16" s="405">
        <v>1544.2427692555307</v>
      </c>
      <c r="F16" s="720">
        <f>AVERAGE(AZ64:AZ72)</f>
        <v>8.3136278437125437</v>
      </c>
      <c r="G16" s="720">
        <v>0</v>
      </c>
      <c r="H16" s="720">
        <v>0</v>
      </c>
      <c r="I16" s="751" t="e">
        <f>AVERAGE(AZ73:AZ76)</f>
        <v>#DIV/0!</v>
      </c>
      <c r="J16" s="751" t="e">
        <f>STDEV(AZ73:AZ76)</f>
        <v>#DIV/0!</v>
      </c>
      <c r="K16" s="751" t="e">
        <v>#DIV/0!</v>
      </c>
      <c r="L16" s="1337" t="e">
        <v>#DIV/0!</v>
      </c>
      <c r="M16" s="1339" t="e">
        <v>#DIV/0!</v>
      </c>
      <c r="N16" s="1340" t="e">
        <v>#DIV/0!</v>
      </c>
      <c r="O16" s="433">
        <v>0.63</v>
      </c>
      <c r="P16" s="433">
        <v>-3.23</v>
      </c>
      <c r="Q16" s="778">
        <v>0.45948955400000002</v>
      </c>
      <c r="R16" s="570">
        <f t="shared" si="0"/>
        <v>0.14989699570024584</v>
      </c>
      <c r="S16" s="570">
        <v>146.88243237379447</v>
      </c>
      <c r="T16" s="570">
        <v>712.32561344688645</v>
      </c>
      <c r="U16" s="570">
        <v>142.53813462925251</v>
      </c>
      <c r="V16" s="570">
        <v>422.90504644383947</v>
      </c>
      <c r="W16" s="888">
        <f t="shared" si="1"/>
        <v>289.42056700304698</v>
      </c>
      <c r="X16" s="731" t="e">
        <f>L16/W16</f>
        <v>#DIV/0!</v>
      </c>
      <c r="Y16" s="730" t="s">
        <v>1327</v>
      </c>
      <c r="Z16" s="730"/>
      <c r="AA16" s="730"/>
      <c r="AB16" s="857">
        <v>76.008807584438799</v>
      </c>
      <c r="AC16" s="406">
        <v>92.874181902634447</v>
      </c>
      <c r="AD16" s="909">
        <v>185.74836380526889</v>
      </c>
      <c r="AE16" s="570"/>
      <c r="AF16" s="570"/>
      <c r="AG16" s="912" t="e">
        <v>#DIV/0!</v>
      </c>
      <c r="AH16" s="909" t="e">
        <v>#DIV/0!</v>
      </c>
      <c r="AI16" s="904" t="e">
        <v>#DIV/0!</v>
      </c>
      <c r="AJ16" s="733" t="s">
        <v>449</v>
      </c>
      <c r="AL16" s="50" t="s">
        <v>82</v>
      </c>
      <c r="AM16" s="69"/>
      <c r="AN16" s="722" t="s">
        <v>1245</v>
      </c>
      <c r="AO16" s="52"/>
      <c r="AP16" s="53">
        <v>895409.03756634763</v>
      </c>
      <c r="AQ16" s="53">
        <v>559.93591209696297</v>
      </c>
      <c r="AR16" s="54">
        <v>157100</v>
      </c>
      <c r="AS16" s="53">
        <v>162230.35274261833</v>
      </c>
      <c r="AT16" s="53">
        <v>116.19900386992548</v>
      </c>
      <c r="AU16" s="53"/>
      <c r="AV16" s="56"/>
      <c r="AW16" s="53">
        <v>178.01463679362399</v>
      </c>
      <c r="AX16" s="53">
        <v>191.09175870632706</v>
      </c>
      <c r="AY16" s="53">
        <v>295.14740131667156</v>
      </c>
      <c r="AZ16" s="53">
        <v>298.99473367987724</v>
      </c>
      <c r="BA16" s="53">
        <v>93.279523105665533</v>
      </c>
      <c r="BB16" s="53">
        <v>286.98996518221327</v>
      </c>
      <c r="BC16" s="53">
        <v>276.04255565025312</v>
      </c>
      <c r="BD16" s="53">
        <v>254.32832140453618</v>
      </c>
      <c r="BE16" s="53">
        <v>271.58237806688328</v>
      </c>
      <c r="BF16" s="53">
        <v>213.37277415670471</v>
      </c>
      <c r="BG16" s="53"/>
      <c r="BH16" s="53">
        <v>201.95936269080232</v>
      </c>
      <c r="BI16" s="52"/>
      <c r="BJ16" s="52"/>
      <c r="BK16" s="53">
        <v>289.72129262553301</v>
      </c>
      <c r="BL16" s="53">
        <v>16.971698551099333</v>
      </c>
      <c r="BM16" s="53">
        <v>13.496200018816451</v>
      </c>
      <c r="BN16" s="53">
        <v>15.865617907244207</v>
      </c>
      <c r="BO16" s="53">
        <v>279.94944985983074</v>
      </c>
      <c r="BP16" s="53">
        <v>283.56885495073112</v>
      </c>
      <c r="BQ16" s="52"/>
      <c r="BR16" s="52"/>
      <c r="BS16" s="55"/>
      <c r="BT16" s="56">
        <v>42.09300041198729</v>
      </c>
      <c r="BU16" s="57">
        <v>0.71722605513685844</v>
      </c>
      <c r="BV16" s="55"/>
      <c r="BW16" s="58" t="s">
        <v>83</v>
      </c>
    </row>
    <row r="17" spans="1:75">
      <c r="A17" s="435" t="s">
        <v>313</v>
      </c>
      <c r="B17" s="435" t="s">
        <v>13</v>
      </c>
      <c r="C17" s="1453">
        <f>AVERAGE(BA58:BA63)</f>
        <v>116.64258579451261</v>
      </c>
      <c r="D17" s="434">
        <f>STDEV(BA58:BA63)</f>
        <v>8.9017212739932514</v>
      </c>
      <c r="E17" s="1453">
        <v>17.803442547986503</v>
      </c>
      <c r="F17" s="720">
        <f>AVERAGE(BA64:BA72)</f>
        <v>1.622923621957169</v>
      </c>
      <c r="G17" s="720">
        <f>STDEV(BA64:BA72)</f>
        <v>0.78000343531810656</v>
      </c>
      <c r="H17" s="720">
        <v>1.5600068706362131</v>
      </c>
      <c r="I17" s="1555">
        <f>AVERAGE(BA73:BA76)</f>
        <v>8.6179274836810151</v>
      </c>
      <c r="J17" s="405">
        <f>STDEV(BA73:BA76)</f>
        <v>4.536541232436111</v>
      </c>
      <c r="K17" s="1555">
        <v>9.0730824648722219</v>
      </c>
      <c r="L17" s="1323">
        <v>13.534876687624497</v>
      </c>
      <c r="M17" s="571">
        <v>7.1993454318115333</v>
      </c>
      <c r="N17" s="862">
        <v>14.398690863623067</v>
      </c>
      <c r="O17" s="433">
        <v>0.23</v>
      </c>
      <c r="P17" s="433">
        <v>-2</v>
      </c>
      <c r="Q17" s="778">
        <v>0.45948955400000002</v>
      </c>
      <c r="R17" s="570">
        <f t="shared" si="0"/>
        <v>0.14989699570024584</v>
      </c>
      <c r="S17" s="570">
        <v>6.725927386482784</v>
      </c>
      <c r="T17" s="570">
        <v>17.878851110642721</v>
      </c>
      <c r="U17" s="570">
        <v>3.5103484144315349</v>
      </c>
      <c r="V17" s="570">
        <v>7.6425753097284019</v>
      </c>
      <c r="W17" s="888">
        <f t="shared" si="1"/>
        <v>10.236275800914319</v>
      </c>
      <c r="X17" s="721">
        <f t="shared" si="2"/>
        <v>1.3222461909843757</v>
      </c>
      <c r="Y17" s="433">
        <f t="shared" si="3"/>
        <v>0.70331686756315004</v>
      </c>
      <c r="Z17" s="433"/>
      <c r="AA17" s="433"/>
      <c r="AB17" s="863">
        <v>71.871888619038756</v>
      </c>
      <c r="AC17" s="433">
        <v>34.975561450291522</v>
      </c>
      <c r="AD17" s="910">
        <v>69.951122900583044</v>
      </c>
      <c r="AE17" s="1540">
        <f>AVERAGE(BA65:BA72)/I17</f>
        <v>0.18831947994809098</v>
      </c>
      <c r="AF17" s="570"/>
      <c r="AG17" s="912">
        <v>0.18831947994809098</v>
      </c>
      <c r="AH17" s="909">
        <v>0.13423583275349429</v>
      </c>
      <c r="AI17" s="904">
        <v>0.26847166550698859</v>
      </c>
      <c r="AJ17" s="435" t="s">
        <v>13</v>
      </c>
      <c r="AL17" s="50" t="s">
        <v>84</v>
      </c>
      <c r="AM17" s="69"/>
      <c r="AN17" s="722" t="s">
        <v>1246</v>
      </c>
      <c r="AO17" s="52"/>
      <c r="AP17" s="53">
        <v>906328.05696385854</v>
      </c>
      <c r="AQ17" s="53">
        <v>595.59290120560593</v>
      </c>
      <c r="AR17" s="54">
        <v>157100</v>
      </c>
      <c r="AS17" s="53">
        <v>158814.78710723866</v>
      </c>
      <c r="AT17" s="53">
        <v>122.16428200233</v>
      </c>
      <c r="AU17" s="53"/>
      <c r="AV17" s="56"/>
      <c r="AW17" s="53">
        <v>178.54703286708985</v>
      </c>
      <c r="AX17" s="53">
        <v>184.37344675479955</v>
      </c>
      <c r="AY17" s="53">
        <v>375.69982157189548</v>
      </c>
      <c r="AZ17" s="53">
        <v>366.3324527901442</v>
      </c>
      <c r="BA17" s="53">
        <v>87.949973019579446</v>
      </c>
      <c r="BB17" s="53">
        <v>248.26194282483505</v>
      </c>
      <c r="BC17" s="53">
        <v>239.71845555286083</v>
      </c>
      <c r="BD17" s="53">
        <v>326.74854549774932</v>
      </c>
      <c r="BE17" s="53">
        <v>260.38599972577032</v>
      </c>
      <c r="BF17" s="53">
        <v>192.30006208601617</v>
      </c>
      <c r="BG17" s="53"/>
      <c r="BH17" s="53">
        <v>177.1182857524532</v>
      </c>
      <c r="BI17" s="52"/>
      <c r="BJ17" s="52"/>
      <c r="BK17" s="53">
        <v>265.64083461362685</v>
      </c>
      <c r="BL17" s="53">
        <v>157.98568400381882</v>
      </c>
      <c r="BM17" s="53">
        <v>112.51806061725212</v>
      </c>
      <c r="BN17" s="53">
        <v>127.62919205497015</v>
      </c>
      <c r="BO17" s="53">
        <v>575.31728347584487</v>
      </c>
      <c r="BP17" s="53">
        <v>251.91854593235723</v>
      </c>
      <c r="BQ17" s="52"/>
      <c r="BR17" s="52"/>
      <c r="BS17" s="55"/>
      <c r="BT17" s="56">
        <v>41.4140014648438</v>
      </c>
      <c r="BU17" s="57">
        <v>0.65221331371624425</v>
      </c>
      <c r="BV17" s="55"/>
      <c r="BW17" s="58" t="s">
        <v>85</v>
      </c>
    </row>
    <row r="18" spans="1:75">
      <c r="A18" s="435" t="s">
        <v>313</v>
      </c>
      <c r="B18" s="435" t="s">
        <v>443</v>
      </c>
      <c r="C18" s="1453">
        <f>AVERAGE(BB58:BB63)</f>
        <v>313.74905660339624</v>
      </c>
      <c r="D18" s="434">
        <f>STDEV(BB58:BB63)</f>
        <v>21.217693865994534</v>
      </c>
      <c r="E18" s="1453">
        <v>42.435387731989067</v>
      </c>
      <c r="F18" s="1453">
        <f>AVERAGE(BB64:BB72)</f>
        <v>132.35199872008641</v>
      </c>
      <c r="G18" s="434">
        <f>STDEV(BB64:BB72)</f>
        <v>61.365127999761114</v>
      </c>
      <c r="H18" s="1453">
        <v>122.73025599952223</v>
      </c>
      <c r="I18" s="1453">
        <f>AVERAGE(BB73:BB76)</f>
        <v>106.23113201412885</v>
      </c>
      <c r="J18" s="434">
        <f>STDEV(BB73:BB76)</f>
        <v>35.510328468957155</v>
      </c>
      <c r="K18" s="1453">
        <v>71.02065693791431</v>
      </c>
      <c r="L18" s="930">
        <v>2.9534567753798133</v>
      </c>
      <c r="M18" s="570">
        <v>1.0072654726498071</v>
      </c>
      <c r="N18" s="879">
        <v>2.0145309452996143</v>
      </c>
      <c r="O18" s="433">
        <v>0.67</v>
      </c>
      <c r="P18" s="433">
        <v>-1.33</v>
      </c>
      <c r="Q18" s="778">
        <v>0.45948955400000002</v>
      </c>
      <c r="R18" s="570">
        <f t="shared" si="0"/>
        <v>0.14989699570024584</v>
      </c>
      <c r="S18" s="570">
        <v>6.3238416658443848</v>
      </c>
      <c r="T18" s="570">
        <v>12.11522909422392</v>
      </c>
      <c r="U18" s="570">
        <v>2.0373890561994754</v>
      </c>
      <c r="V18" s="570">
        <v>3.7539983721800603</v>
      </c>
      <c r="W18" s="888">
        <f t="shared" si="1"/>
        <v>8.3612307220438602</v>
      </c>
      <c r="X18" s="433">
        <f t="shared" si="2"/>
        <v>0.35323230198554501</v>
      </c>
      <c r="Y18" s="433">
        <f t="shared" si="3"/>
        <v>0.12046856570937756</v>
      </c>
      <c r="Z18" s="433"/>
      <c r="AA18" s="433"/>
      <c r="AB18" s="885">
        <v>2.3705653079478588</v>
      </c>
      <c r="AC18" s="570">
        <v>1.110744581053229</v>
      </c>
      <c r="AD18" s="910">
        <v>2.2214891621064581</v>
      </c>
      <c r="AE18" s="570"/>
      <c r="AF18" s="570"/>
      <c r="AG18" s="912">
        <v>1.2458871162408724</v>
      </c>
      <c r="AH18" s="909">
        <v>0.71213259943235607</v>
      </c>
      <c r="AI18" s="904">
        <v>1.4242651988647121</v>
      </c>
      <c r="AJ18" s="435" t="s">
        <v>443</v>
      </c>
      <c r="AL18" s="205" t="s">
        <v>151</v>
      </c>
      <c r="AM18" s="154"/>
      <c r="AN18" s="153" t="s">
        <v>1247</v>
      </c>
      <c r="AO18" s="154"/>
      <c r="AP18" s="155">
        <v>855497.49414472957</v>
      </c>
      <c r="AQ18" s="155">
        <v>554.56393647498521</v>
      </c>
      <c r="AR18" s="156">
        <v>157100</v>
      </c>
      <c r="AS18" s="155">
        <v>152214.58126526201</v>
      </c>
      <c r="AT18" s="155">
        <v>114.70278898925505</v>
      </c>
      <c r="AU18" s="155"/>
      <c r="AV18" s="154"/>
      <c r="AW18" s="155">
        <v>164.24831640779885</v>
      </c>
      <c r="AX18" s="155">
        <v>166.49814720986291</v>
      </c>
      <c r="AY18" s="155">
        <v>263.25926445905304</v>
      </c>
      <c r="AZ18" s="155">
        <v>293.53827933426913</v>
      </c>
      <c r="BA18" s="155">
        <v>88.011902550367054</v>
      </c>
      <c r="BB18" s="155">
        <v>293.48473902513553</v>
      </c>
      <c r="BC18" s="155">
        <v>270.3382584868458</v>
      </c>
      <c r="BD18" s="155">
        <v>193.25891177240715</v>
      </c>
      <c r="BE18" s="155">
        <v>231.24336640279606</v>
      </c>
      <c r="BF18" s="155">
        <v>190.66233377570131</v>
      </c>
      <c r="BG18" s="155"/>
      <c r="BH18" s="155">
        <v>176.79167543257566</v>
      </c>
      <c r="BI18" s="154"/>
      <c r="BJ18" s="154"/>
      <c r="BK18" s="155">
        <v>277.52773640306953</v>
      </c>
      <c r="BL18" s="155">
        <v>14.365594370403722</v>
      </c>
      <c r="BM18" s="155">
        <v>24.583958513612821</v>
      </c>
      <c r="BN18" s="155">
        <v>41.45705684442985</v>
      </c>
      <c r="BO18" s="155">
        <v>156.10466548043564</v>
      </c>
      <c r="BP18" s="155">
        <v>255.63330085479183</v>
      </c>
      <c r="BQ18" s="154"/>
      <c r="BR18" s="154"/>
      <c r="BS18" s="157"/>
      <c r="BT18" s="158">
        <v>42.093002319335994</v>
      </c>
      <c r="BU18" s="159">
        <v>0.54371299528182826</v>
      </c>
      <c r="BV18" s="157"/>
      <c r="BW18" s="157" t="s">
        <v>152</v>
      </c>
    </row>
    <row r="19" spans="1:75" ht="18" customHeight="1">
      <c r="A19" s="435" t="s">
        <v>313</v>
      </c>
      <c r="B19" s="435" t="s">
        <v>831</v>
      </c>
      <c r="C19" s="434">
        <f>AVERAGE(BC58:BC63)</f>
        <v>311.16293761476987</v>
      </c>
      <c r="D19" s="434">
        <f>STDEV(BC58:BC63)</f>
        <v>23.211100044242912</v>
      </c>
      <c r="E19" s="434">
        <v>46.422200088485823</v>
      </c>
      <c r="F19" s="434">
        <f>AVERAGE(BC64:BC72)</f>
        <v>132.02001542206042</v>
      </c>
      <c r="G19" s="434">
        <f>STDEV(BC64:BC72)</f>
        <v>61.961521018780424</v>
      </c>
      <c r="H19" s="434">
        <v>123.92304203756085</v>
      </c>
      <c r="I19" s="434">
        <f>AVERAGE(BC73:BC76)</f>
        <v>106.67153796164712</v>
      </c>
      <c r="J19" s="434">
        <f>STDEV(BC73:BC76)</f>
        <v>34.031005544156073</v>
      </c>
      <c r="K19" s="434">
        <v>68.062011088312147</v>
      </c>
      <c r="L19" s="930">
        <v>2.9170193245610276</v>
      </c>
      <c r="M19" s="570">
        <v>0.95570574272884024</v>
      </c>
      <c r="N19" s="879">
        <v>1.9114114854576805</v>
      </c>
      <c r="O19" s="433">
        <v>0.67</v>
      </c>
      <c r="P19" s="433">
        <v>-1.33</v>
      </c>
      <c r="Q19" s="778">
        <v>0.45948955400000002</v>
      </c>
      <c r="R19" s="570">
        <f t="shared" si="0"/>
        <v>0.14989699570024584</v>
      </c>
      <c r="S19" s="570">
        <v>6.3238416658443848</v>
      </c>
      <c r="T19" s="570">
        <v>12.11522909422392</v>
      </c>
      <c r="U19" s="570">
        <v>2.0373890561994754</v>
      </c>
      <c r="V19" s="570">
        <v>3.7539983721800603</v>
      </c>
      <c r="W19" s="888">
        <f t="shared" si="1"/>
        <v>8.3612307220438602</v>
      </c>
      <c r="X19" s="433">
        <f t="shared" si="2"/>
        <v>0.34887439678832077</v>
      </c>
      <c r="Y19" s="433">
        <f t="shared" si="3"/>
        <v>0.11430204170890559</v>
      </c>
      <c r="Z19" s="433"/>
      <c r="AA19" s="433"/>
      <c r="AB19" s="885">
        <v>2.3569375948033318</v>
      </c>
      <c r="AC19" s="570">
        <v>1.1200762818955783</v>
      </c>
      <c r="AD19" s="910">
        <v>2.2401525637911566</v>
      </c>
      <c r="AE19" s="570"/>
      <c r="AF19" s="570"/>
      <c r="AG19" s="912">
        <v>1.2376311239604245</v>
      </c>
      <c r="AH19" s="909">
        <v>0.70235139804865665</v>
      </c>
      <c r="AI19" s="904">
        <v>1.4047027960973133</v>
      </c>
      <c r="AJ19" s="435" t="s">
        <v>831</v>
      </c>
      <c r="AL19" s="205" t="s">
        <v>153</v>
      </c>
      <c r="AM19" s="154"/>
      <c r="AN19" s="153" t="s">
        <v>1248</v>
      </c>
      <c r="AO19" s="154"/>
      <c r="AP19" s="155">
        <v>865038.71988847514</v>
      </c>
      <c r="AQ19" s="155">
        <v>551.13133759601055</v>
      </c>
      <c r="AR19" s="156">
        <v>157100</v>
      </c>
      <c r="AS19" s="155">
        <v>162020.23039233283</v>
      </c>
      <c r="AT19" s="155">
        <v>112.25927512861841</v>
      </c>
      <c r="AU19" s="155"/>
      <c r="AV19" s="154"/>
      <c r="AW19" s="155">
        <v>164.46675336960482</v>
      </c>
      <c r="AX19" s="155">
        <v>174.60671039092051</v>
      </c>
      <c r="AY19" s="155">
        <v>307.57822613092577</v>
      </c>
      <c r="AZ19" s="155">
        <v>335.68604226303194</v>
      </c>
      <c r="BA19" s="155">
        <v>80.158016092979551</v>
      </c>
      <c r="BB19" s="155">
        <v>264.92263838636359</v>
      </c>
      <c r="BC19" s="155">
        <v>230.98003311648682</v>
      </c>
      <c r="BD19" s="155">
        <v>217.21902989128154</v>
      </c>
      <c r="BE19" s="155">
        <v>233.20921614512446</v>
      </c>
      <c r="BF19" s="155">
        <v>180.89372664569115</v>
      </c>
      <c r="BG19" s="155"/>
      <c r="BH19" s="155">
        <v>165.01527463144944</v>
      </c>
      <c r="BI19" s="154"/>
      <c r="BJ19" s="154"/>
      <c r="BK19" s="155">
        <v>246.53980348208469</v>
      </c>
      <c r="BL19" s="155">
        <v>59.603945452753536</v>
      </c>
      <c r="BM19" s="155">
        <v>77.495086061303454</v>
      </c>
      <c r="BN19" s="155">
        <v>40.218507262994706</v>
      </c>
      <c r="BO19" s="155">
        <v>282.57590835570153</v>
      </c>
      <c r="BP19" s="155">
        <v>223.44862415884543</v>
      </c>
      <c r="BQ19" s="154"/>
      <c r="BR19" s="154"/>
      <c r="BS19" s="157"/>
      <c r="BT19" s="158">
        <v>44.130001068115192</v>
      </c>
      <c r="BU19" s="159">
        <v>0.65644448574020431</v>
      </c>
      <c r="BV19" s="157"/>
      <c r="BW19" s="157" t="s">
        <v>154</v>
      </c>
    </row>
    <row r="20" spans="1:75">
      <c r="A20" s="672" t="s">
        <v>270</v>
      </c>
      <c r="B20" s="672" t="s">
        <v>440</v>
      </c>
      <c r="C20" s="1457">
        <f>AVERAGE(BD15:BD20)</f>
        <v>271.98562085282623</v>
      </c>
      <c r="D20" s="673">
        <f>STDEV(BD15:BD20)</f>
        <v>64.079241949711076</v>
      </c>
      <c r="E20" s="1457">
        <v>128.15848389942215</v>
      </c>
      <c r="F20" s="405">
        <f>AVERAGE(BD21:BD29)</f>
        <v>0.62990782512049659</v>
      </c>
      <c r="G20" s="405">
        <f>STDEV(BD21:BD29)</f>
        <v>1.3665527057295535</v>
      </c>
      <c r="H20" s="405">
        <v>2.7331054114591069</v>
      </c>
      <c r="I20" s="673">
        <f>AVERAGE(BD30:BD33)</f>
        <v>0.68951374201028437</v>
      </c>
      <c r="J20" s="673">
        <f>STDEV(BD30:BD33)</f>
        <v>0.34127879707667352</v>
      </c>
      <c r="K20" s="673">
        <v>0.68255759415334705</v>
      </c>
      <c r="L20" s="1323">
        <v>394.46004376917762</v>
      </c>
      <c r="M20" s="571">
        <v>216.23016403599902</v>
      </c>
      <c r="N20" s="862">
        <v>432.46032807199805</v>
      </c>
      <c r="O20" s="732">
        <v>1.18</v>
      </c>
      <c r="P20" s="732">
        <v>-3.89</v>
      </c>
      <c r="Q20" s="779">
        <v>0.45948955400000002</v>
      </c>
      <c r="R20" s="749">
        <f t="shared" si="0"/>
        <v>0.14989699570024584</v>
      </c>
      <c r="S20" s="749">
        <v>838.10676334108769</v>
      </c>
      <c r="T20" s="749">
        <v>5612.0548020145852</v>
      </c>
      <c r="U20" s="749">
        <v>1058.8066826489726</v>
      </c>
      <c r="V20" s="749">
        <v>3715.1413560245251</v>
      </c>
      <c r="W20" s="889">
        <f t="shared" si="1"/>
        <v>1896.9134459900602</v>
      </c>
      <c r="X20" s="732">
        <f t="shared" si="2"/>
        <v>0.20794836190498731</v>
      </c>
      <c r="Y20" s="732">
        <f t="shared" si="3"/>
        <v>0.11399052734487923</v>
      </c>
      <c r="Z20" s="732"/>
      <c r="AA20" s="732"/>
      <c r="AB20" s="857">
        <v>431.78638208026302</v>
      </c>
      <c r="AC20" s="406">
        <v>942.24593953272449</v>
      </c>
      <c r="AD20" s="909">
        <v>1884.491879065449</v>
      </c>
      <c r="AE20" s="749"/>
      <c r="AF20" s="749"/>
      <c r="AG20" s="912">
        <v>0.91355369261241104</v>
      </c>
      <c r="AH20" s="909">
        <v>2.0328342943358266</v>
      </c>
      <c r="AI20" s="904">
        <v>4.0656685886716533</v>
      </c>
      <c r="AJ20" s="672" t="s">
        <v>440</v>
      </c>
      <c r="AL20" s="205" t="s">
        <v>173</v>
      </c>
      <c r="AM20" s="155"/>
      <c r="AN20" s="209" t="s">
        <v>1249</v>
      </c>
      <c r="AO20" s="210"/>
      <c r="AP20" s="155">
        <v>770390.03169918223</v>
      </c>
      <c r="AQ20" s="155">
        <v>535.39062301106765</v>
      </c>
      <c r="AR20" s="156">
        <v>157100</v>
      </c>
      <c r="AS20" s="155">
        <v>166001.53399200819</v>
      </c>
      <c r="AT20" s="155">
        <v>115.04977151417664</v>
      </c>
      <c r="AU20" s="155"/>
      <c r="AV20" s="154"/>
      <c r="AW20" s="155">
        <v>175.50465835467318</v>
      </c>
      <c r="AX20" s="155">
        <v>178.59808593939195</v>
      </c>
      <c r="AY20" s="155">
        <v>1958.4772611440792</v>
      </c>
      <c r="AZ20" s="155">
        <v>2261.1038399829122</v>
      </c>
      <c r="BA20" s="155">
        <v>82.899987954549786</v>
      </c>
      <c r="BB20" s="155">
        <v>310.34917231693356</v>
      </c>
      <c r="BC20" s="155">
        <v>258.42494742665292</v>
      </c>
      <c r="BD20" s="155">
        <v>279.08552949307125</v>
      </c>
      <c r="BE20" s="155">
        <v>247.69769707608418</v>
      </c>
      <c r="BF20" s="155">
        <v>201.93013779570506</v>
      </c>
      <c r="BG20" s="154"/>
      <c r="BH20" s="155">
        <v>199.46291866909237</v>
      </c>
      <c r="BI20" s="154"/>
      <c r="BJ20" s="154"/>
      <c r="BK20" s="155">
        <v>236.3623234531843</v>
      </c>
      <c r="BL20" s="155">
        <v>52.674305360050639</v>
      </c>
      <c r="BM20" s="155">
        <v>49.927255233229154</v>
      </c>
      <c r="BN20" s="155">
        <v>23.368224848713819</v>
      </c>
      <c r="BO20" s="155">
        <v>293.19115985673972</v>
      </c>
      <c r="BP20" s="155">
        <v>209.94085869808248</v>
      </c>
      <c r="BQ20" s="154"/>
      <c r="BR20" s="154"/>
      <c r="BS20" s="157"/>
      <c r="BT20" s="158">
        <v>38.019001007080092</v>
      </c>
      <c r="BU20" s="159">
        <v>0.69512338406994534</v>
      </c>
      <c r="BV20" s="157"/>
      <c r="BW20" s="157" t="s">
        <v>174</v>
      </c>
    </row>
    <row r="21" spans="1:75">
      <c r="A21" s="672" t="s">
        <v>270</v>
      </c>
      <c r="B21" s="672" t="s">
        <v>16</v>
      </c>
      <c r="C21" s="1457">
        <f>AVERAGE(BE15:BE20)</f>
        <v>250.2338347566681</v>
      </c>
      <c r="D21" s="673">
        <f>STDEV(BE15:BE20)</f>
        <v>15.908765241637477</v>
      </c>
      <c r="E21" s="1457">
        <v>31.817530483274954</v>
      </c>
      <c r="F21" s="802">
        <f>AVERAGE(BE21:BE29)</f>
        <v>1.0754703189530621</v>
      </c>
      <c r="G21" s="802">
        <f>STDEV(BE21:BE29)</f>
        <v>2.2979409442485599</v>
      </c>
      <c r="H21" s="802">
        <v>4.5958818884971198</v>
      </c>
      <c r="I21" s="405">
        <f>AVERAGE(BE30:BE33)</f>
        <v>1.3447483712924322</v>
      </c>
      <c r="J21" s="405">
        <f>STDEV(BE30:BE33)</f>
        <v>1.1193862529745482</v>
      </c>
      <c r="K21" s="405">
        <v>2.2387725059490964</v>
      </c>
      <c r="L21" s="1323">
        <v>186.08227390241743</v>
      </c>
      <c r="M21" s="571">
        <v>155.34844792446492</v>
      </c>
      <c r="N21" s="862">
        <v>310.69689584892984</v>
      </c>
      <c r="O21" s="732">
        <v>0.97</v>
      </c>
      <c r="P21" s="732">
        <v>-2.66</v>
      </c>
      <c r="Q21" s="779">
        <v>0.45948955400000002</v>
      </c>
      <c r="R21" s="749">
        <f t="shared" si="0"/>
        <v>0.14989699570024584</v>
      </c>
      <c r="S21" s="749">
        <v>86.413999136175988</v>
      </c>
      <c r="T21" s="749">
        <v>317.16509851941163</v>
      </c>
      <c r="U21" s="749">
        <v>64.650544886173236</v>
      </c>
      <c r="V21" s="749">
        <v>166.1005544970624</v>
      </c>
      <c r="W21" s="889">
        <f t="shared" si="1"/>
        <v>151.06454402234922</v>
      </c>
      <c r="X21" s="732">
        <f t="shared" si="2"/>
        <v>1.2318064116678995</v>
      </c>
      <c r="Y21" s="732">
        <f t="shared" si="3"/>
        <v>1.0283581030204012</v>
      </c>
      <c r="Z21" s="732"/>
      <c r="AA21" s="732"/>
      <c r="AB21" s="857">
        <v>232.67386402654347</v>
      </c>
      <c r="AC21" s="406">
        <v>497.37069842825474</v>
      </c>
      <c r="AD21" s="909">
        <v>994.74139685650948</v>
      </c>
      <c r="AE21" s="749"/>
      <c r="AF21" s="749"/>
      <c r="AG21" s="912">
        <v>0.79975580704324034</v>
      </c>
      <c r="AH21" s="909">
        <v>1.8339244801133696</v>
      </c>
      <c r="AI21" s="904">
        <v>3.6678489602267392</v>
      </c>
      <c r="AJ21" s="672" t="s">
        <v>16</v>
      </c>
      <c r="AL21" s="692" t="s">
        <v>53</v>
      </c>
      <c r="AM21" s="693"/>
      <c r="AN21" s="693">
        <v>40.409744162728188</v>
      </c>
      <c r="AO21" s="693"/>
      <c r="AP21" s="693">
        <v>541312.74541438196</v>
      </c>
      <c r="AQ21" s="693">
        <v>33.626807581482062</v>
      </c>
      <c r="AR21" s="694">
        <v>6100</v>
      </c>
      <c r="AS21" s="693">
        <v>5921.9370480313792</v>
      </c>
      <c r="AT21" s="693">
        <v>145.32533589861367</v>
      </c>
      <c r="AU21" s="693"/>
      <c r="AV21" s="693"/>
      <c r="AW21" s="695">
        <v>0.18284581358990692</v>
      </c>
      <c r="AX21" s="696" t="s">
        <v>54</v>
      </c>
      <c r="AY21" s="693">
        <v>14.805107248366214</v>
      </c>
      <c r="AZ21" s="696" t="s">
        <v>1262</v>
      </c>
      <c r="BA21" s="696" t="s">
        <v>55</v>
      </c>
      <c r="BB21" s="693">
        <v>137.34953147702188</v>
      </c>
      <c r="BC21" s="693">
        <v>132.81353495990149</v>
      </c>
      <c r="BD21" s="695">
        <v>8.062223000457841E-2</v>
      </c>
      <c r="BE21" s="695">
        <v>4.7505656879422431E-2</v>
      </c>
      <c r="BF21" s="695">
        <v>0.13783334425851962</v>
      </c>
      <c r="BG21" s="695"/>
      <c r="BH21" s="696" t="s">
        <v>56</v>
      </c>
      <c r="BI21" s="695"/>
      <c r="BJ21" s="695"/>
      <c r="BK21" s="697">
        <v>1.1279467429404684</v>
      </c>
      <c r="BL21" s="696" t="s">
        <v>57</v>
      </c>
      <c r="BM21" s="693"/>
      <c r="BN21" s="696" t="s">
        <v>58</v>
      </c>
      <c r="BO21" s="696" t="s">
        <v>59</v>
      </c>
      <c r="BP21" s="695">
        <v>0.7533039145763063</v>
      </c>
      <c r="BQ21" s="695"/>
      <c r="BR21" s="695"/>
      <c r="BS21" s="698"/>
      <c r="BT21" s="697">
        <v>10.183000564575202</v>
      </c>
      <c r="BU21" s="699">
        <v>6.0150810648198503</v>
      </c>
      <c r="BV21" s="698"/>
      <c r="BW21" s="700" t="s">
        <v>60</v>
      </c>
    </row>
    <row r="22" spans="1:75">
      <c r="A22" s="672" t="s">
        <v>270</v>
      </c>
      <c r="B22" s="672" t="s">
        <v>435</v>
      </c>
      <c r="C22" s="1457">
        <f>AVERAGE(BF15:BF20)</f>
        <v>198.85177233729564</v>
      </c>
      <c r="D22" s="673">
        <f>STDEV(BF15:BF20)</f>
        <v>13.272707532695719</v>
      </c>
      <c r="E22" s="1457">
        <v>26.545415065391438</v>
      </c>
      <c r="F22" s="802">
        <f>AVERAGE(BF21:BF29)</f>
        <v>1.909919298381471</v>
      </c>
      <c r="G22" s="802">
        <f>STDEV(BF21:BF29)</f>
        <v>2.4048323763336135</v>
      </c>
      <c r="H22" s="802">
        <v>4.8096647526672269</v>
      </c>
      <c r="I22" s="1457">
        <f>AVERAGE(BF30:BF33)</f>
        <v>51.398727313256721</v>
      </c>
      <c r="J22" s="673">
        <f>STDEV(BF30:BF33)</f>
        <v>10.373426699456614</v>
      </c>
      <c r="K22" s="1457">
        <v>20.746853398913228</v>
      </c>
      <c r="L22" s="1324">
        <v>3.8688073174529349</v>
      </c>
      <c r="M22" s="749">
        <v>0.82240601521353218</v>
      </c>
      <c r="N22" s="861">
        <v>1.6448120304270644</v>
      </c>
      <c r="O22" s="732">
        <v>0.54</v>
      </c>
      <c r="P22" s="732">
        <v>-0.70699999999999996</v>
      </c>
      <c r="Q22" s="779">
        <v>0.45948955400000002</v>
      </c>
      <c r="R22" s="749">
        <f t="shared" si="0"/>
        <v>0.14989699570024584</v>
      </c>
      <c r="S22" s="749">
        <v>1.7808746969984057</v>
      </c>
      <c r="T22" s="749">
        <v>2.5160833342932363</v>
      </c>
      <c r="U22" s="749">
        <v>0.2850198974656426</v>
      </c>
      <c r="V22" s="749">
        <v>0.45018873982918794</v>
      </c>
      <c r="W22" s="889">
        <f t="shared" si="1"/>
        <v>2.0658945944640483</v>
      </c>
      <c r="X22" s="732">
        <f t="shared" si="2"/>
        <v>1.872703151370902</v>
      </c>
      <c r="Y22" s="732">
        <f t="shared" si="3"/>
        <v>0.39808711316507783</v>
      </c>
      <c r="Z22" s="732"/>
      <c r="AA22" s="732"/>
      <c r="AB22" s="857">
        <v>104.11527466412284</v>
      </c>
      <c r="AC22" s="406">
        <v>131.27849532955241</v>
      </c>
      <c r="AD22" s="909">
        <v>262.55699065910483</v>
      </c>
      <c r="AE22" s="749"/>
      <c r="AF22" s="749"/>
      <c r="AG22" s="912">
        <v>3.7158883073917397E-2</v>
      </c>
      <c r="AH22" s="909">
        <v>4.7385007859540418E-2</v>
      </c>
      <c r="AI22" s="904">
        <v>9.4770015719080836E-2</v>
      </c>
      <c r="AJ22" s="672" t="s">
        <v>435</v>
      </c>
      <c r="AL22" s="674" t="s">
        <v>61</v>
      </c>
      <c r="AM22" s="675"/>
      <c r="AN22" s="675">
        <v>11.469080437039015</v>
      </c>
      <c r="AO22" s="675"/>
      <c r="AP22" s="675">
        <v>188881.5774478986</v>
      </c>
      <c r="AQ22" s="675">
        <v>25.129564818934991</v>
      </c>
      <c r="AR22" s="676">
        <v>6100</v>
      </c>
      <c r="AS22" s="675">
        <v>6197.2057626370961</v>
      </c>
      <c r="AT22" s="675">
        <v>42.473776896952621</v>
      </c>
      <c r="AU22" s="675"/>
      <c r="AV22" s="675"/>
      <c r="AW22" s="675">
        <v>4.6758262091205234</v>
      </c>
      <c r="AX22" s="677">
        <v>4.6547821791392217</v>
      </c>
      <c r="AY22" s="675">
        <v>10.136502736054885</v>
      </c>
      <c r="AZ22" s="677">
        <v>8.0493643789133191</v>
      </c>
      <c r="BA22" s="677">
        <v>2.5411232098748378</v>
      </c>
      <c r="BB22" s="675">
        <v>45.962995552674059</v>
      </c>
      <c r="BC22" s="675">
        <v>43.010354857491606</v>
      </c>
      <c r="BD22" s="677">
        <v>3.994374269042078</v>
      </c>
      <c r="BE22" s="677">
        <v>6.2356291503538985</v>
      </c>
      <c r="BF22" s="677">
        <v>6.0011447125565525</v>
      </c>
      <c r="BG22" s="677"/>
      <c r="BH22" s="677">
        <v>5.2370358813663396</v>
      </c>
      <c r="BI22" s="677"/>
      <c r="BJ22" s="677"/>
      <c r="BK22" s="677">
        <v>7.4320964214370253</v>
      </c>
      <c r="BL22" s="678">
        <v>0.40403431823716063</v>
      </c>
      <c r="BM22" s="678">
        <v>1.0412441035810192</v>
      </c>
      <c r="BN22" s="678">
        <v>0.23579778175084384</v>
      </c>
      <c r="BO22" s="677">
        <v>2.8757867080079058</v>
      </c>
      <c r="BP22" s="677">
        <v>7.8544209969054188</v>
      </c>
      <c r="BQ22" s="678"/>
      <c r="BR22" s="678"/>
      <c r="BS22" s="679"/>
      <c r="BT22" s="677">
        <v>40.735002517700195</v>
      </c>
      <c r="BU22" s="680">
        <v>5.1056876925381935</v>
      </c>
      <c r="BV22" s="679"/>
      <c r="BW22" s="681" t="s">
        <v>62</v>
      </c>
    </row>
    <row r="23" spans="1:75">
      <c r="A23" s="435" t="s">
        <v>313</v>
      </c>
      <c r="B23" s="435" t="s">
        <v>18</v>
      </c>
      <c r="C23" s="720">
        <f>AVERAGE(BG58:BG63)</f>
        <v>0.37197755278061084</v>
      </c>
      <c r="D23" s="720">
        <f>STDEV(BG58:BG63)</f>
        <v>5.9164396356101226E-2</v>
      </c>
      <c r="E23" s="720">
        <v>0.11832879271220245</v>
      </c>
      <c r="F23" s="405">
        <f>AVERAGE(BG64:BG72)</f>
        <v>5.5872061643190172</v>
      </c>
      <c r="G23" s="405">
        <f>STDEV(BG64:BG72)</f>
        <v>2.8183640657362425</v>
      </c>
      <c r="H23" s="405">
        <v>5.6367281314724851</v>
      </c>
      <c r="I23" s="1453">
        <f>AVERAGE(BG73:BG76)</f>
        <v>353.82929753718264</v>
      </c>
      <c r="J23" s="434">
        <f>STDEV(BG73:BG76)</f>
        <v>69.491911476485768</v>
      </c>
      <c r="K23" s="1453">
        <v>138.98382295297154</v>
      </c>
      <c r="L23" s="896">
        <v>1.0512909907962641E-3</v>
      </c>
      <c r="M23" s="880">
        <v>2.6568943971224735E-4</v>
      </c>
      <c r="N23" s="881">
        <v>5.313788794244947E-4</v>
      </c>
      <c r="O23" s="433">
        <v>0.15</v>
      </c>
      <c r="P23" s="433">
        <v>2.88</v>
      </c>
      <c r="Q23" s="778">
        <v>0.45948955400000002</v>
      </c>
      <c r="R23" s="570">
        <f t="shared" si="0"/>
        <v>0.14989699570024584</v>
      </c>
      <c r="S23" s="1373">
        <f>O23*(((1-(2*C47))/(1-C47))^P23)</f>
        <v>2.841909918758174E-4</v>
      </c>
      <c r="T23" s="800">
        <f>O23*(((1-(2*C46))/(1-C46))^P23)</f>
        <v>1.1614919706338231E-3</v>
      </c>
      <c r="U23" s="800">
        <v>3.5022612725054086E-4</v>
      </c>
      <c r="V23" s="800">
        <v>5.2707485150746479E-4</v>
      </c>
      <c r="W23" s="1363">
        <f t="shared" si="1"/>
        <v>6.3441711912635827E-4</v>
      </c>
      <c r="X23" s="433">
        <f t="shared" si="2"/>
        <v>1.6570974507181861</v>
      </c>
      <c r="Y23" s="433">
        <f t="shared" si="3"/>
        <v>0.41879298603751797</v>
      </c>
      <c r="Z23" s="433"/>
      <c r="AA23" s="433"/>
      <c r="AB23" s="868">
        <v>6.6576664945018793E-2</v>
      </c>
      <c r="AC23" s="571">
        <v>3.5213293721246104E-2</v>
      </c>
      <c r="AD23" s="909">
        <v>7.0426587442492208E-2</v>
      </c>
      <c r="AE23" s="570"/>
      <c r="AF23" s="570"/>
      <c r="AG23" s="912">
        <v>1.5790682691367235E-2</v>
      </c>
      <c r="AH23" s="909">
        <v>8.5477657739516117E-3</v>
      </c>
      <c r="AI23" s="904">
        <v>1.7095531547903223E-2</v>
      </c>
      <c r="AJ23" s="435" t="s">
        <v>18</v>
      </c>
      <c r="AL23" s="692" t="s">
        <v>63</v>
      </c>
      <c r="AM23" s="693"/>
      <c r="AN23" s="693">
        <v>34.57738982232123</v>
      </c>
      <c r="AO23" s="693"/>
      <c r="AP23" s="693">
        <v>582065.39018606441</v>
      </c>
      <c r="AQ23" s="724" t="s">
        <v>1252</v>
      </c>
      <c r="AR23" s="694">
        <v>6100</v>
      </c>
      <c r="AS23" s="693">
        <v>5437.6083687673945</v>
      </c>
      <c r="AT23" s="693">
        <v>151.57749545456554</v>
      </c>
      <c r="AU23" s="693"/>
      <c r="AV23" s="693"/>
      <c r="AW23" s="696" t="s">
        <v>64</v>
      </c>
      <c r="AX23" s="696" t="s">
        <v>65</v>
      </c>
      <c r="AY23" s="693">
        <v>14.344409171148955</v>
      </c>
      <c r="AZ23" s="696" t="s">
        <v>1263</v>
      </c>
      <c r="BA23" s="696" t="s">
        <v>66</v>
      </c>
      <c r="BB23" s="693">
        <v>141.16443975875373</v>
      </c>
      <c r="BC23" s="693">
        <v>131.96603651494954</v>
      </c>
      <c r="BD23" s="695">
        <v>0.11265722586324349</v>
      </c>
      <c r="BE23" s="696" t="s">
        <v>58</v>
      </c>
      <c r="BF23" s="695">
        <v>0.28935217733639557</v>
      </c>
      <c r="BG23" s="695"/>
      <c r="BH23" s="696" t="s">
        <v>54</v>
      </c>
      <c r="BI23" s="695"/>
      <c r="BJ23" s="695"/>
      <c r="BK23" s="697">
        <v>1.0405293957557489</v>
      </c>
      <c r="BL23" s="693"/>
      <c r="BM23" s="693"/>
      <c r="BN23" s="693"/>
      <c r="BO23" s="696" t="s">
        <v>54</v>
      </c>
      <c r="BP23" s="695">
        <v>0.65243495290454412</v>
      </c>
      <c r="BQ23" s="695"/>
      <c r="BR23" s="695"/>
      <c r="BS23" s="698"/>
      <c r="BT23" s="697">
        <v>19.6879997253418</v>
      </c>
      <c r="BU23" s="699">
        <v>1.7254345902768444</v>
      </c>
      <c r="BV23" s="698"/>
      <c r="BW23" s="700" t="s">
        <v>67</v>
      </c>
    </row>
    <row r="24" spans="1:75">
      <c r="A24" s="672" t="s">
        <v>270</v>
      </c>
      <c r="B24" s="672" t="s">
        <v>830</v>
      </c>
      <c r="C24" s="673">
        <f>AVERAGE(BH15:BH20)</f>
        <v>183.22200207024318</v>
      </c>
      <c r="D24" s="673">
        <f>STDEV(BH15:BH20)</f>
        <v>14.442312118733525</v>
      </c>
      <c r="E24" s="673">
        <v>28.884624237467051</v>
      </c>
      <c r="F24" s="807">
        <f>AVERAGE(BH21:BH29)</f>
        <v>2.7229837169451532</v>
      </c>
      <c r="G24" s="807">
        <f>STDEV(BH21:BH29)</f>
        <v>2.504179972894927</v>
      </c>
      <c r="H24" s="807">
        <v>5.008359945789854</v>
      </c>
      <c r="I24" s="673">
        <f>AVERAGE(BH30:BH33)</f>
        <v>45.529561634156899</v>
      </c>
      <c r="J24" s="673">
        <f>STDEV(BH30:BH33)</f>
        <v>9.5957151474159019</v>
      </c>
      <c r="K24" s="673">
        <v>19.191430294831804</v>
      </c>
      <c r="L24" s="1324">
        <v>4.024242612799231</v>
      </c>
      <c r="M24" s="749">
        <v>0.90551840758304558</v>
      </c>
      <c r="N24" s="861">
        <v>1.8110368151660912</v>
      </c>
      <c r="O24" s="732">
        <v>0.54</v>
      </c>
      <c r="P24" s="732">
        <v>-0.70699999999999996</v>
      </c>
      <c r="Q24" s="779">
        <v>0.45948955400000002</v>
      </c>
      <c r="R24" s="749">
        <f t="shared" si="0"/>
        <v>0.14989699570024584</v>
      </c>
      <c r="S24" s="749" cm="1">
        <f t="array" ref="S24:S32">O24:O32*(((1-(2*C46))/(1-C46))^P24:P32)</f>
        <v>1.7808746969984057</v>
      </c>
      <c r="T24" s="749" cm="1">
        <f t="array" ref="T24:T32">O24:O32*(((1-(2*C47))/(1-C47))^P24:P32)</f>
        <v>2.5160833342932363</v>
      </c>
      <c r="U24" s="749">
        <v>0.2850198974656426</v>
      </c>
      <c r="V24" s="749">
        <v>0.45018873982918794</v>
      </c>
      <c r="W24" s="889">
        <f t="shared" si="1"/>
        <v>2.0658945944640483</v>
      </c>
      <c r="X24" s="732">
        <f t="shared" si="2"/>
        <v>1.9479418860879656</v>
      </c>
      <c r="Y24" s="732">
        <f t="shared" si="3"/>
        <v>0.43831781641210149</v>
      </c>
      <c r="Z24" s="732"/>
      <c r="AA24" s="732"/>
      <c r="AB24" s="857">
        <v>67.287219137613988</v>
      </c>
      <c r="AC24" s="406">
        <v>62.107279004234833</v>
      </c>
      <c r="AD24" s="909">
        <v>124.21455800846967</v>
      </c>
      <c r="AE24" s="749"/>
      <c r="AF24" s="749"/>
      <c r="AG24" s="912">
        <v>5.9806939035018811E-2</v>
      </c>
      <c r="AH24" s="909">
        <v>5.6427043871009608E-2</v>
      </c>
      <c r="AI24" s="904">
        <v>0.11285408774201922</v>
      </c>
      <c r="AJ24" s="672" t="s">
        <v>830</v>
      </c>
      <c r="AL24" s="692" t="s">
        <v>68</v>
      </c>
      <c r="AM24" s="693"/>
      <c r="AN24" s="693">
        <v>93.243606790018006</v>
      </c>
      <c r="AO24" s="693"/>
      <c r="AP24" s="693">
        <v>608954.40459934564</v>
      </c>
      <c r="AQ24" s="724" t="s">
        <v>1253</v>
      </c>
      <c r="AR24" s="694">
        <v>6100</v>
      </c>
      <c r="AS24" s="693">
        <v>5508.2980119141412</v>
      </c>
      <c r="AT24" s="693">
        <v>134.09275630033537</v>
      </c>
      <c r="AU24" s="693"/>
      <c r="AV24" s="693"/>
      <c r="AW24" s="697">
        <v>2.8078497162513014</v>
      </c>
      <c r="AX24" s="697">
        <v>3.1454047788914652</v>
      </c>
      <c r="AY24" s="693">
        <v>13.296540426118931</v>
      </c>
      <c r="AZ24" s="696" t="s">
        <v>1264</v>
      </c>
      <c r="BA24" s="696" t="s">
        <v>69</v>
      </c>
      <c r="BB24" s="693">
        <v>144.28703499010419</v>
      </c>
      <c r="BC24" s="693">
        <v>132.91390677614183</v>
      </c>
      <c r="BD24" s="695">
        <v>6.8667332566459099E-2</v>
      </c>
      <c r="BE24" s="695">
        <v>5.2941090321996877E-2</v>
      </c>
      <c r="BF24" s="695">
        <v>0.67802824628594827</v>
      </c>
      <c r="BG24" s="695"/>
      <c r="BH24" s="695">
        <v>0.4073676069000991</v>
      </c>
      <c r="BI24" s="695"/>
      <c r="BJ24" s="695"/>
      <c r="BK24" s="697">
        <v>2.5505499269041865</v>
      </c>
      <c r="BL24" s="693"/>
      <c r="BM24" s="693"/>
      <c r="BN24" s="695">
        <v>0.10049578112500969</v>
      </c>
      <c r="BO24" s="701">
        <v>1.6785841952953681E-2</v>
      </c>
      <c r="BP24" s="697">
        <v>1.0202305176886983</v>
      </c>
      <c r="BQ24" s="695"/>
      <c r="BR24" s="695"/>
      <c r="BS24" s="698"/>
      <c r="BT24" s="697">
        <v>21.045997619628903</v>
      </c>
      <c r="BU24" s="699">
        <v>1.6466308083730565</v>
      </c>
      <c r="BV24" s="698"/>
      <c r="BW24" s="700" t="s">
        <v>70</v>
      </c>
    </row>
    <row r="25" spans="1:75">
      <c r="A25" s="435" t="s">
        <v>313</v>
      </c>
      <c r="B25" s="435" t="s">
        <v>428</v>
      </c>
      <c r="C25" s="1453">
        <f>AVERAGE(BI58:BI63)</f>
        <v>168.38371369365029</v>
      </c>
      <c r="D25" s="434">
        <f>STDEV(BI58:BI63)</f>
        <v>14.302768095640278</v>
      </c>
      <c r="E25" s="1453">
        <v>28.605536191280557</v>
      </c>
      <c r="F25" s="802">
        <f>AVERAGE(BI64:BI72)</f>
        <v>3.6028106469340013</v>
      </c>
      <c r="G25" s="802">
        <f>STDEV(BI64:BI72)</f>
        <v>3.6153148156259634</v>
      </c>
      <c r="H25" s="802">
        <v>7.2306296312519267</v>
      </c>
      <c r="I25" s="1453">
        <f>AVERAGE(BI73:BI76)</f>
        <v>124.98963793122402</v>
      </c>
      <c r="J25" s="434">
        <f>STDEV(BI73:BI76)</f>
        <v>7.7046668901608335</v>
      </c>
      <c r="K25" s="1453">
        <v>15.409333780321667</v>
      </c>
      <c r="L25" s="1331">
        <v>1.3471813862386257</v>
      </c>
      <c r="M25" s="573">
        <v>0.14138893194582988</v>
      </c>
      <c r="N25" s="864">
        <v>0.28277786389165976</v>
      </c>
      <c r="O25" s="721">
        <v>0.13</v>
      </c>
      <c r="P25" s="721">
        <v>-0.84</v>
      </c>
      <c r="Q25" s="778">
        <v>0.45948955400000002</v>
      </c>
      <c r="R25" s="573">
        <f t="shared" si="0"/>
        <v>0.14989699570024584</v>
      </c>
      <c r="S25" s="573">
        <v>0.53662830272688689</v>
      </c>
      <c r="T25" s="573">
        <v>0.80909645142352304</v>
      </c>
      <c r="U25" s="573">
        <v>0.10351512686361208</v>
      </c>
      <c r="V25" s="573">
        <v>0.16895302183302408</v>
      </c>
      <c r="W25" s="887">
        <f t="shared" si="1"/>
        <v>0.64014342959049897</v>
      </c>
      <c r="X25" s="721">
        <f t="shared" si="2"/>
        <v>2.1044992793262289</v>
      </c>
      <c r="Y25" s="721">
        <f t="shared" si="3"/>
        <v>0.22087070711055592</v>
      </c>
      <c r="Z25" s="721"/>
      <c r="AA25" s="721"/>
      <c r="AB25" s="857">
        <v>46.736764763628408</v>
      </c>
      <c r="AC25" s="406">
        <v>47.066693936603613</v>
      </c>
      <c r="AD25" s="909">
        <v>94.133387873207226</v>
      </c>
      <c r="AE25" s="570"/>
      <c r="AF25" s="570"/>
      <c r="AG25" s="912">
        <v>2.8824874658141344E-2</v>
      </c>
      <c r="AH25" s="909">
        <v>2.8979439751302859E-2</v>
      </c>
      <c r="AI25" s="904">
        <v>5.7958879502605719E-2</v>
      </c>
      <c r="AJ25" s="435" t="s">
        <v>428</v>
      </c>
      <c r="AL25" s="692" t="s">
        <v>71</v>
      </c>
      <c r="AM25" s="693"/>
      <c r="AN25" s="693">
        <v>52.238103910491951</v>
      </c>
      <c r="AO25" s="693"/>
      <c r="AP25" s="693">
        <v>691119.67506916856</v>
      </c>
      <c r="AQ25" s="724" t="s">
        <v>1254</v>
      </c>
      <c r="AR25" s="694">
        <v>6100</v>
      </c>
      <c r="AS25" s="693">
        <v>5811.0901049468584</v>
      </c>
      <c r="AT25" s="693">
        <v>149.71023572703237</v>
      </c>
      <c r="AU25" s="693"/>
      <c r="AV25" s="693"/>
      <c r="AW25" s="696" t="s">
        <v>72</v>
      </c>
      <c r="AX25" s="696" t="s">
        <v>73</v>
      </c>
      <c r="AY25" s="693">
        <v>19.365832564652948</v>
      </c>
      <c r="AZ25" s="696" t="s">
        <v>1265</v>
      </c>
      <c r="BA25" s="696" t="s">
        <v>1269</v>
      </c>
      <c r="BB25" s="693">
        <v>166.12957145153104</v>
      </c>
      <c r="BC25" s="693">
        <v>148.93403284310909</v>
      </c>
      <c r="BD25" s="695">
        <v>0.11257181578716235</v>
      </c>
      <c r="BE25" s="695">
        <v>3.3434988179620637E-2</v>
      </c>
      <c r="BF25" s="695">
        <v>9.1979816316702448E-2</v>
      </c>
      <c r="BG25" s="695"/>
      <c r="BH25" s="696" t="s">
        <v>74</v>
      </c>
      <c r="BI25" s="695"/>
      <c r="BJ25" s="695"/>
      <c r="BK25" s="697">
        <v>1.5632604420644367</v>
      </c>
      <c r="BL25" s="701">
        <v>1.9277946343816871E-2</v>
      </c>
      <c r="BM25" s="693"/>
      <c r="BN25" s="693"/>
      <c r="BO25" s="701">
        <v>8.3390672350553641E-2</v>
      </c>
      <c r="BP25" s="695">
        <v>0.72547559851417331</v>
      </c>
      <c r="BQ25" s="695"/>
      <c r="BR25" s="695"/>
      <c r="BS25" s="698"/>
      <c r="BT25" s="697">
        <v>25.798999786377003</v>
      </c>
      <c r="BU25" s="699">
        <v>1.8559775983821747</v>
      </c>
      <c r="BV25" s="698"/>
      <c r="BW25" s="700" t="s">
        <v>75</v>
      </c>
    </row>
    <row r="26" spans="1:75">
      <c r="A26" s="435" t="s">
        <v>313</v>
      </c>
      <c r="B26" s="435" t="s">
        <v>20</v>
      </c>
      <c r="C26" s="1453">
        <f>AVERAGE(BJ58:BJ63)</f>
        <v>182.16410747614157</v>
      </c>
      <c r="D26" s="434">
        <f>STDEV(BJ58:BJ63)</f>
        <v>14.623492169583836</v>
      </c>
      <c r="E26" s="1453">
        <v>29.246984339167671</v>
      </c>
      <c r="F26" s="1558">
        <f>AVERAGE(BJ64:BJ72)</f>
        <v>3.2118025135575268</v>
      </c>
      <c r="G26" s="802">
        <f>STDEV(BJ64:BJ72)</f>
        <v>3.7946312080866038</v>
      </c>
      <c r="H26" s="1558">
        <v>7.5892624161732076</v>
      </c>
      <c r="I26" s="1453">
        <f>AVERAGE(BJ73:BJ76)</f>
        <v>160.29004499793561</v>
      </c>
      <c r="J26" s="434">
        <f>STDEV(BJ73:BJ76)</f>
        <v>15.555314495714109</v>
      </c>
      <c r="K26" s="1453">
        <v>31.110628991428218</v>
      </c>
      <c r="L26" s="1331">
        <v>1.1364655083756927</v>
      </c>
      <c r="M26" s="573">
        <v>0.14313152291861861</v>
      </c>
      <c r="N26" s="864">
        <v>0.28626304583723722</v>
      </c>
      <c r="O26" s="721">
        <v>0.12</v>
      </c>
      <c r="P26" s="721">
        <v>-0.61</v>
      </c>
      <c r="Q26" s="778">
        <v>0.45948955400000002</v>
      </c>
      <c r="R26" s="573">
        <f t="shared" si="0"/>
        <v>0.14989699570024584</v>
      </c>
      <c r="S26" s="573">
        <v>0.3359840564956057</v>
      </c>
      <c r="T26" s="573">
        <v>0.45270765314195371</v>
      </c>
      <c r="U26" s="573">
        <v>4.5914097928246633E-2</v>
      </c>
      <c r="V26" s="573">
        <v>7.0809498718101382E-2</v>
      </c>
      <c r="W26" s="887">
        <f t="shared" si="1"/>
        <v>0.38189815442385233</v>
      </c>
      <c r="X26" s="721">
        <f t="shared" si="2"/>
        <v>2.9758339892744767</v>
      </c>
      <c r="Y26" s="721">
        <f t="shared" si="3"/>
        <v>0.37478977381954842</v>
      </c>
      <c r="Z26" s="721"/>
      <c r="AA26" s="1473">
        <f>C26/AVERAGE(BJ64,BJ65,BJ67,BJ68,BJ70,BJ71,BJ72)</f>
        <v>56.717094748882609</v>
      </c>
      <c r="AB26" s="857">
        <v>56.717094748882609</v>
      </c>
      <c r="AC26" s="406">
        <v>67.163747722263011</v>
      </c>
      <c r="AD26" s="909">
        <v>134.32749544452602</v>
      </c>
      <c r="AE26" s="570">
        <f>AVERAGE(BJ64,BJ65,0.55,BJ67,BJ68,0.3,BJ70:BJ72)/I26</f>
        <v>1.6173886944343224E-2</v>
      </c>
      <c r="AF26" s="570"/>
      <c r="AG26" s="912">
        <v>2.0037442210456002E-2</v>
      </c>
      <c r="AH26" s="909">
        <v>2.375325710606209E-2</v>
      </c>
      <c r="AI26" s="904">
        <v>4.7506514212124179E-2</v>
      </c>
      <c r="AJ26" s="435" t="s">
        <v>20</v>
      </c>
      <c r="AL26" s="682" t="s">
        <v>155</v>
      </c>
      <c r="AM26" s="685"/>
      <c r="AN26" s="683">
        <v>33.959860388902165</v>
      </c>
      <c r="AO26" s="685"/>
      <c r="AP26" s="683">
        <v>538998.76114551537</v>
      </c>
      <c r="AQ26" s="691" t="s">
        <v>1255</v>
      </c>
      <c r="AR26" s="684">
        <v>6100</v>
      </c>
      <c r="AS26" s="683">
        <v>5235.2043970751338</v>
      </c>
      <c r="AT26" s="683">
        <v>123.27859496521046</v>
      </c>
      <c r="AU26" s="683"/>
      <c r="AV26" s="685"/>
      <c r="AW26" s="687" t="s">
        <v>156</v>
      </c>
      <c r="AX26" s="687" t="s">
        <v>157</v>
      </c>
      <c r="AY26" s="683">
        <v>13.392729171527792</v>
      </c>
      <c r="AZ26" s="687" t="s">
        <v>1266</v>
      </c>
      <c r="BA26" s="687" t="s">
        <v>158</v>
      </c>
      <c r="BB26" s="683">
        <v>132.76569335807159</v>
      </c>
      <c r="BC26" s="683">
        <v>102.85031128617062</v>
      </c>
      <c r="BD26" s="685">
        <v>0.10399145247048469</v>
      </c>
      <c r="BE26" s="683"/>
      <c r="BF26" s="687" t="s">
        <v>159</v>
      </c>
      <c r="BG26" s="685"/>
      <c r="BH26" s="687" t="s">
        <v>160</v>
      </c>
      <c r="BI26" s="685"/>
      <c r="BJ26" s="685"/>
      <c r="BK26" s="687" t="s">
        <v>161</v>
      </c>
      <c r="BL26" s="702">
        <v>3.4728620752360835E-2</v>
      </c>
      <c r="BM26" s="683"/>
      <c r="BN26" s="683"/>
      <c r="BO26" s="687" t="s">
        <v>133</v>
      </c>
      <c r="BP26" s="685">
        <v>0.34000487356962511</v>
      </c>
      <c r="BQ26" s="685"/>
      <c r="BR26" s="685"/>
      <c r="BS26" s="688"/>
      <c r="BT26" s="689">
        <v>7.4680004119872976</v>
      </c>
      <c r="BU26" s="690">
        <v>2.057319342717967</v>
      </c>
      <c r="BV26" s="688"/>
      <c r="BW26" s="688" t="s">
        <v>162</v>
      </c>
    </row>
    <row r="27" spans="1:75">
      <c r="A27" s="672" t="s">
        <v>270</v>
      </c>
      <c r="B27" s="672" t="s">
        <v>422</v>
      </c>
      <c r="C27" s="1457">
        <f>AVERAGE(BK15:BK20)</f>
        <v>266.34024058193086</v>
      </c>
      <c r="D27" s="673">
        <f>STDEV(BK15:BK20)</f>
        <v>21.053069552322835</v>
      </c>
      <c r="E27" s="1457">
        <v>42.106139104645671</v>
      </c>
      <c r="F27" s="802">
        <f>AVERAGE(BK21:BK29)</f>
        <v>2.1150865326921346</v>
      </c>
      <c r="G27" s="802">
        <f>STDEV(BK21:BK29)</f>
        <v>2.2574880527876635</v>
      </c>
      <c r="H27" s="802">
        <v>4.514976105575327</v>
      </c>
      <c r="I27" s="1456">
        <f>AVERAGE(BK30:BK33)</f>
        <v>2.4160535969100243</v>
      </c>
      <c r="J27" s="673">
        <f>STDEV(BK30:BK33)</f>
        <v>0.65792619143140463</v>
      </c>
      <c r="K27" s="1456">
        <v>1.3158523828628093</v>
      </c>
      <c r="L27" s="1324">
        <v>110.23772027349175</v>
      </c>
      <c r="M27" s="749">
        <v>31.258443083659891</v>
      </c>
      <c r="N27" s="861">
        <v>62.516886167319782</v>
      </c>
      <c r="O27" s="732">
        <v>0.95</v>
      </c>
      <c r="P27" s="732">
        <v>-3.88</v>
      </c>
      <c r="Q27" s="779">
        <v>0.45948955400000002</v>
      </c>
      <c r="R27" s="749">
        <f t="shared" si="0"/>
        <v>0.14989699570024584</v>
      </c>
      <c r="S27" s="749">
        <v>663.4540073414056</v>
      </c>
      <c r="T27" s="749">
        <v>4420.8974659135338</v>
      </c>
      <c r="U27" s="749">
        <v>835.01250654305466</v>
      </c>
      <c r="V27" s="749">
        <v>2922.4309520290735</v>
      </c>
      <c r="W27" s="889">
        <f t="shared" si="1"/>
        <v>1498.4665138844603</v>
      </c>
      <c r="X27" s="732">
        <f t="shared" si="2"/>
        <v>7.356702285440038E-2</v>
      </c>
      <c r="Y27" s="732">
        <f t="shared" si="3"/>
        <v>2.0860288030480529E-2</v>
      </c>
      <c r="Z27" s="732"/>
      <c r="AA27" s="732"/>
      <c r="AB27" s="857">
        <v>125.92403973322376</v>
      </c>
      <c r="AC27" s="406">
        <v>134.77015510547074</v>
      </c>
      <c r="AD27" s="909">
        <v>269.54031021094147</v>
      </c>
      <c r="AE27" s="749"/>
      <c r="AF27" s="749"/>
      <c r="AG27" s="912">
        <v>0.87543030311794123</v>
      </c>
      <c r="AH27" s="909">
        <v>0.96430193265689013</v>
      </c>
      <c r="AI27" s="904">
        <v>1.9286038653137803</v>
      </c>
      <c r="AJ27" s="672" t="s">
        <v>422</v>
      </c>
      <c r="AL27" s="682" t="s">
        <v>163</v>
      </c>
      <c r="AM27" s="685"/>
      <c r="AN27" s="683">
        <v>210.87545531414631</v>
      </c>
      <c r="AO27" s="685"/>
      <c r="AP27" s="683">
        <v>624245.92645695026</v>
      </c>
      <c r="AQ27" s="691" t="s">
        <v>1256</v>
      </c>
      <c r="AR27" s="684">
        <v>6100</v>
      </c>
      <c r="AS27" s="683">
        <v>5423.1928291441773</v>
      </c>
      <c r="AT27" s="683">
        <v>162.53948431320242</v>
      </c>
      <c r="AU27" s="683"/>
      <c r="AV27" s="685"/>
      <c r="AW27" s="683">
        <v>16.165125101015011</v>
      </c>
      <c r="AX27" s="683">
        <v>16.184959545963206</v>
      </c>
      <c r="AY27" s="683">
        <v>16.277869485026709</v>
      </c>
      <c r="AZ27" s="687" t="s">
        <v>1267</v>
      </c>
      <c r="BA27" s="687" t="s">
        <v>1270</v>
      </c>
      <c r="BB27" s="683">
        <v>157.99454556200507</v>
      </c>
      <c r="BC27" s="683">
        <v>139.59120286780723</v>
      </c>
      <c r="BD27" s="683"/>
      <c r="BE27" s="685">
        <v>1.8707208469747445E-2</v>
      </c>
      <c r="BF27" s="685">
        <v>0.760498436947459</v>
      </c>
      <c r="BG27" s="685"/>
      <c r="BH27" s="685">
        <v>0.50225886201293413</v>
      </c>
      <c r="BI27" s="685"/>
      <c r="BJ27" s="685"/>
      <c r="BK27" s="685">
        <v>0.9218020096969789</v>
      </c>
      <c r="BL27" s="702">
        <v>3.4975237984553105E-2</v>
      </c>
      <c r="BM27" s="683"/>
      <c r="BN27" s="683"/>
      <c r="BO27" s="683"/>
      <c r="BP27" s="685">
        <v>0.66585554860563301</v>
      </c>
      <c r="BQ27" s="685"/>
      <c r="BR27" s="685"/>
      <c r="BS27" s="688"/>
      <c r="BT27" s="689">
        <v>10.184000015258803</v>
      </c>
      <c r="BU27" s="690">
        <v>1.5363014575074292</v>
      </c>
      <c r="BV27" s="688"/>
      <c r="BW27" s="688" t="s">
        <v>165</v>
      </c>
    </row>
    <row r="28" spans="1:75">
      <c r="A28" s="672" t="s">
        <v>270</v>
      </c>
      <c r="B28" s="672" t="s">
        <v>22</v>
      </c>
      <c r="C28" s="1555">
        <f>AVERAGE(BL15:BL20)</f>
        <v>95.585689285197589</v>
      </c>
      <c r="D28" s="405">
        <f>STDEV(BL15:BL20)</f>
        <v>100.89398744007001</v>
      </c>
      <c r="E28" s="1555">
        <v>201.78797488014001</v>
      </c>
      <c r="F28" s="802">
        <f>AVERAGE(BL21:BL29)</f>
        <v>0.12325403082947285</v>
      </c>
      <c r="G28" s="802">
        <f>STDEV(BL21:BL29)</f>
        <v>0.18733080315953482</v>
      </c>
      <c r="H28" s="802">
        <v>0.37466160631906964</v>
      </c>
      <c r="I28" s="405">
        <f>AVERAGE(BL30:BL33)</f>
        <v>4.349400799393921E-2</v>
      </c>
      <c r="J28" s="405">
        <f>STDEV(BL30:BL33)</f>
        <v>5.1557288766258341E-2</v>
      </c>
      <c r="K28" s="405">
        <v>0.10311457753251668</v>
      </c>
      <c r="L28" s="1323">
        <v>2197.6748911831082</v>
      </c>
      <c r="M28" s="571">
        <v>3488.2150629979692</v>
      </c>
      <c r="N28" s="862">
        <v>6976.4301259959384</v>
      </c>
      <c r="O28" s="732">
        <v>1.65</v>
      </c>
      <c r="P28" s="732">
        <v>-5.08</v>
      </c>
      <c r="Q28" s="779">
        <v>0.45948955400000002</v>
      </c>
      <c r="R28" s="749">
        <f t="shared" si="0"/>
        <v>0.14989699570024584</v>
      </c>
      <c r="S28" s="749">
        <v>8733.4484984987994</v>
      </c>
      <c r="T28" s="749">
        <v>104625.57176310214</v>
      </c>
      <c r="U28" s="749">
        <v>16644.462316963873</v>
      </c>
      <c r="V28" s="749">
        <v>79247.660947639466</v>
      </c>
      <c r="W28" s="889">
        <f t="shared" si="1"/>
        <v>25377.91081546267</v>
      </c>
      <c r="X28" s="732">
        <f t="shared" si="2"/>
        <v>8.6597943666981161E-2</v>
      </c>
      <c r="Y28" s="732">
        <f t="shared" si="3"/>
        <v>0.13745083621590365</v>
      </c>
      <c r="Z28" s="732"/>
      <c r="AA28" s="732">
        <f>C28/AVERAGE(BL22,BL25,BL26,BL27)</f>
        <v>775.51775501317616</v>
      </c>
      <c r="AB28" s="857">
        <v>775.51775501317616</v>
      </c>
      <c r="AC28" s="406">
        <v>1435.058888554096</v>
      </c>
      <c r="AD28" s="909">
        <v>2870.1177771081921</v>
      </c>
      <c r="AE28" s="1541">
        <f>AVERAGE(BL22,BL25,BL26,BL27)/I28</f>
        <v>2.8338163465332515</v>
      </c>
      <c r="AF28" s="749"/>
      <c r="AG28" s="912">
        <v>2.8338163465332515</v>
      </c>
      <c r="AH28" s="909">
        <v>5.462115779615683</v>
      </c>
      <c r="AI28" s="904">
        <v>10.924231559231366</v>
      </c>
      <c r="AJ28" s="672" t="s">
        <v>22</v>
      </c>
      <c r="AL28" s="682" t="s">
        <v>169</v>
      </c>
      <c r="AM28" s="683"/>
      <c r="AN28" s="683">
        <v>17.992415764469488</v>
      </c>
      <c r="AO28" s="702"/>
      <c r="AP28" s="683">
        <v>60699.695415856113</v>
      </c>
      <c r="AQ28" s="683">
        <v>10.713060051784431</v>
      </c>
      <c r="AR28" s="684">
        <v>6100</v>
      </c>
      <c r="AS28" s="683">
        <v>6425.1214739891038</v>
      </c>
      <c r="AT28" s="683">
        <v>65.257271187195414</v>
      </c>
      <c r="AU28" s="683"/>
      <c r="AV28" s="685"/>
      <c r="AW28" s="686">
        <v>1.370909222736665</v>
      </c>
      <c r="AX28" s="686">
        <v>1.385623277629134</v>
      </c>
      <c r="AY28" s="686">
        <v>1.4010014747448372</v>
      </c>
      <c r="AZ28" s="687" t="s">
        <v>170</v>
      </c>
      <c r="BA28" s="685">
        <v>0.91249400100088895</v>
      </c>
      <c r="BB28" s="686">
        <v>8.5086916448991552</v>
      </c>
      <c r="BC28" s="686">
        <v>7.0330164304859109</v>
      </c>
      <c r="BD28" s="685">
        <v>7.8587551035725872E-2</v>
      </c>
      <c r="BE28" s="685">
        <v>0.22350603003211167</v>
      </c>
      <c r="BF28" s="686">
        <v>5.3494708805089894</v>
      </c>
      <c r="BG28" s="685"/>
      <c r="BH28" s="686">
        <v>5.526429461071392</v>
      </c>
      <c r="BI28" s="685"/>
      <c r="BJ28" s="685"/>
      <c r="BK28" s="685">
        <v>0.28692388537001773</v>
      </c>
      <c r="BL28" s="687" t="s">
        <v>171</v>
      </c>
      <c r="BM28" s="1394">
        <v>6.267326782984496E-3</v>
      </c>
      <c r="BN28" s="1394">
        <v>8.6866280994327416E-3</v>
      </c>
      <c r="BO28" s="702">
        <v>6.0787548178668771E-2</v>
      </c>
      <c r="BP28" s="686">
        <v>2.4999534646242663</v>
      </c>
      <c r="BQ28" s="685"/>
      <c r="BR28" s="685"/>
      <c r="BS28" s="688"/>
      <c r="BT28" s="689">
        <v>46.166002273559599</v>
      </c>
      <c r="BU28" s="690">
        <v>24.204612958026932</v>
      </c>
      <c r="BV28" s="688"/>
      <c r="BW28" s="688" t="s">
        <v>172</v>
      </c>
    </row>
    <row r="29" spans="1:75">
      <c r="A29" s="672" t="s">
        <v>270</v>
      </c>
      <c r="B29" s="672" t="s">
        <v>23</v>
      </c>
      <c r="C29" s="1555">
        <f>AVERAGE(BM15:BM20)</f>
        <v>75.084003743169788</v>
      </c>
      <c r="D29" s="405">
        <f>STDEV(BM15:BM20)</f>
        <v>59.78285796944467</v>
      </c>
      <c r="E29" s="1555">
        <v>119.56571593888934</v>
      </c>
      <c r="F29" s="1554">
        <f>AVERAGE(BM21:BM29)</f>
        <v>0.35511259588057859</v>
      </c>
      <c r="G29" s="405">
        <f>STDEV(BM21:BM29)</f>
        <v>0.59423542236301807</v>
      </c>
      <c r="H29" s="1554">
        <v>1.1884708447260361</v>
      </c>
      <c r="I29" s="405">
        <f>AVERAGE(BM30:BM33)</f>
        <v>3.0218713856223677E-2</v>
      </c>
      <c r="J29" s="405">
        <f>STDEV(BM30:BM33)</f>
        <v>2.9570194799918011E-2</v>
      </c>
      <c r="K29" s="405">
        <v>5.9140389599836023E-2</v>
      </c>
      <c r="L29" s="1323">
        <v>2484.6856189978421</v>
      </c>
      <c r="M29" s="571">
        <v>3134.5409435600682</v>
      </c>
      <c r="N29" s="862">
        <v>6269.0818871201363</v>
      </c>
      <c r="O29" s="732">
        <v>1.71</v>
      </c>
      <c r="P29" s="732">
        <v>-5.34</v>
      </c>
      <c r="Q29" s="779">
        <v>0.45948955400000002</v>
      </c>
      <c r="R29" s="749">
        <f t="shared" si="0"/>
        <v>0.14989699570024584</v>
      </c>
      <c r="S29" s="749">
        <v>14037.219586321691</v>
      </c>
      <c r="T29" s="749">
        <v>190954.34326239553</v>
      </c>
      <c r="U29" s="749">
        <v>29041.409251767371</v>
      </c>
      <c r="V29" s="749">
        <v>147875.71442430647</v>
      </c>
      <c r="W29" s="889">
        <f t="shared" si="1"/>
        <v>43078.628838089062</v>
      </c>
      <c r="X29" s="732">
        <f t="shared" si="2"/>
        <v>5.767791793783706E-2</v>
      </c>
      <c r="Y29" s="732">
        <f t="shared" si="3"/>
        <v>7.2763247765875588E-2</v>
      </c>
      <c r="Z29" s="732"/>
      <c r="AA29" s="1446">
        <f>C29/AVERAGE(BM22,BM28,BM29)</f>
        <v>211.43717405174755</v>
      </c>
      <c r="AB29" s="857">
        <v>211.43717405174755</v>
      </c>
      <c r="AC29" s="406">
        <v>391.82271881791058</v>
      </c>
      <c r="AD29" s="909">
        <v>783.64543763582117</v>
      </c>
      <c r="AE29" s="1538">
        <f>AVERAGE(BM22,BM28,BM29)/I29</f>
        <v>11.751413298731164</v>
      </c>
      <c r="AF29" s="749"/>
      <c r="AG29" s="912">
        <v>11.751413298731164</v>
      </c>
      <c r="AH29" s="909">
        <v>22.779902471666468</v>
      </c>
      <c r="AI29" s="904">
        <v>45.559804943332935</v>
      </c>
      <c r="AJ29" s="672" t="s">
        <v>23</v>
      </c>
      <c r="AL29" s="682" t="s">
        <v>175</v>
      </c>
      <c r="AM29" s="683"/>
      <c r="AN29" s="683">
        <v>62.964599037046597</v>
      </c>
      <c r="AO29" s="683"/>
      <c r="AP29" s="683">
        <v>478035.2259850346</v>
      </c>
      <c r="AQ29" s="691" t="s">
        <v>1257</v>
      </c>
      <c r="AR29" s="684">
        <v>6100</v>
      </c>
      <c r="AS29" s="683">
        <v>6142.3106219722904</v>
      </c>
      <c r="AT29" s="683">
        <v>103.46221258953152</v>
      </c>
      <c r="AU29" s="683"/>
      <c r="AV29" s="685"/>
      <c r="AW29" s="686">
        <v>4.1520738437024054</v>
      </c>
      <c r="AX29" s="686">
        <v>3.7494312031977448</v>
      </c>
      <c r="AY29" s="683">
        <v>10.850006736866662</v>
      </c>
      <c r="AZ29" s="687" t="s">
        <v>1268</v>
      </c>
      <c r="BA29" s="686">
        <v>1.0182907937643493</v>
      </c>
      <c r="BB29" s="683">
        <v>133.35267250969903</v>
      </c>
      <c r="BC29" s="683">
        <v>102.13454919820576</v>
      </c>
      <c r="BD29" s="685">
        <v>0.48779072419424069</v>
      </c>
      <c r="BE29" s="685">
        <v>0.91656810843463821</v>
      </c>
      <c r="BF29" s="686">
        <v>1.9710467728412011</v>
      </c>
      <c r="BG29" s="685"/>
      <c r="BH29" s="686">
        <v>1.941826773375001</v>
      </c>
      <c r="BI29" s="685"/>
      <c r="BJ29" s="685"/>
      <c r="BK29" s="686">
        <v>1.9975834373682138</v>
      </c>
      <c r="BL29" s="687" t="s">
        <v>59</v>
      </c>
      <c r="BM29" s="702">
        <v>1.7826357277732293E-2</v>
      </c>
      <c r="BN29" s="683"/>
      <c r="BO29" s="685">
        <v>0.35638377846965885</v>
      </c>
      <c r="BP29" s="686">
        <v>2.3076074205336825</v>
      </c>
      <c r="BQ29" s="685"/>
      <c r="BR29" s="685"/>
      <c r="BS29" s="688"/>
      <c r="BT29" s="689">
        <v>41.4140014648438</v>
      </c>
      <c r="BU29" s="690">
        <v>2.0635975818733865</v>
      </c>
      <c r="BV29" s="688"/>
      <c r="BW29" s="688" t="s">
        <v>176</v>
      </c>
    </row>
    <row r="30" spans="1:75">
      <c r="A30" s="672" t="s">
        <v>270</v>
      </c>
      <c r="B30" s="672" t="s">
        <v>24</v>
      </c>
      <c r="C30" s="1555">
        <f>AVERAGE(BN15:BN20)</f>
        <v>79.389735169220145</v>
      </c>
      <c r="D30" s="405">
        <f>STDEV(BN15:BN20)</f>
        <v>83.065747943914346</v>
      </c>
      <c r="E30" s="1555">
        <v>166.13149588782869</v>
      </c>
      <c r="F30" s="807">
        <f>AVERAGE(BN21:BN29)</f>
        <v>0.1149933969917621</v>
      </c>
      <c r="G30" s="405">
        <f>STDEV(BN21:BN29)</f>
        <v>0.11424755873796011</v>
      </c>
      <c r="H30" s="405">
        <v>0.22849511747592022</v>
      </c>
      <c r="I30" s="405">
        <f>AVERAGE(BN30:BN33)</f>
        <v>4.2304641309285296E-2</v>
      </c>
      <c r="J30" s="405">
        <f>STDEV(BN30:BN33)</f>
        <v>2.6048276891794429E-2</v>
      </c>
      <c r="K30" s="405">
        <v>5.2096553783588857E-2</v>
      </c>
      <c r="L30" s="1323">
        <v>1876.6199809805544</v>
      </c>
      <c r="M30" s="571">
        <v>2278.2779903376486</v>
      </c>
      <c r="N30" s="862">
        <v>4556.5559806752972</v>
      </c>
      <c r="O30" s="732">
        <v>1.49</v>
      </c>
      <c r="P30" s="732">
        <v>-5.04</v>
      </c>
      <c r="Q30" s="779">
        <v>0.45948955400000002</v>
      </c>
      <c r="R30" s="749">
        <f t="shared" si="0"/>
        <v>0.14989699570024584</v>
      </c>
      <c r="S30" s="749">
        <v>7371.6991205610511</v>
      </c>
      <c r="T30" s="749">
        <v>86602.002259125991</v>
      </c>
      <c r="U30" s="749">
        <v>13870.032047145316</v>
      </c>
      <c r="V30" s="749">
        <v>65360.271091419621</v>
      </c>
      <c r="W30" s="889">
        <f t="shared" si="1"/>
        <v>21241.731167706366</v>
      </c>
      <c r="X30" s="732">
        <f t="shared" si="2"/>
        <v>8.8345905809860015E-2</v>
      </c>
      <c r="Y30" s="732">
        <f t="shared" si="3"/>
        <v>0.10725481705565018</v>
      </c>
      <c r="Z30" s="732"/>
      <c r="AA30" s="1474">
        <f>C30/AVERAGE(BM22,BM28,BM29)</f>
        <v>223.56214927368629</v>
      </c>
      <c r="AB30" s="857">
        <v>690.38516337514113</v>
      </c>
      <c r="AC30" s="406">
        <v>996.12339447401348</v>
      </c>
      <c r="AD30" s="909">
        <v>1992.246788948027</v>
      </c>
      <c r="AE30" s="1542"/>
      <c r="AF30" s="749"/>
      <c r="AG30" s="912">
        <v>2.7182217703030758</v>
      </c>
      <c r="AH30" s="909">
        <v>3.1771754930826952</v>
      </c>
      <c r="AI30" s="904">
        <v>6.3543509861653904</v>
      </c>
      <c r="AJ30" s="672" t="s">
        <v>24</v>
      </c>
      <c r="AL30" s="59" t="s">
        <v>76</v>
      </c>
      <c r="AM30" s="60"/>
      <c r="AN30" s="61">
        <v>6.9983278487414511</v>
      </c>
      <c r="AO30" s="60"/>
      <c r="AP30" s="60">
        <v>643660.28928129165</v>
      </c>
      <c r="AQ30" s="60">
        <v>114.0441409743143</v>
      </c>
      <c r="AR30" s="62">
        <v>68900</v>
      </c>
      <c r="AS30" s="60">
        <v>66486.419909708216</v>
      </c>
      <c r="AT30" s="60">
        <v>830.23923831153547</v>
      </c>
      <c r="AU30" s="60"/>
      <c r="AV30" s="60"/>
      <c r="AW30" s="61">
        <v>3.0855358940905417</v>
      </c>
      <c r="AX30" s="61">
        <v>2.91140773244368</v>
      </c>
      <c r="AY30" s="60">
        <v>17.545655226428586</v>
      </c>
      <c r="AZ30" s="63" t="s">
        <v>1328</v>
      </c>
      <c r="BA30" s="61">
        <v>10.269240538096824</v>
      </c>
      <c r="BB30" s="60">
        <v>73.020528623279986</v>
      </c>
      <c r="BC30" s="60">
        <v>69.004950370668141</v>
      </c>
      <c r="BD30" s="61">
        <v>1.0910344979813671</v>
      </c>
      <c r="BE30" s="61">
        <v>2.6973666487864412</v>
      </c>
      <c r="BF30" s="60">
        <v>65.026683324881191</v>
      </c>
      <c r="BG30" s="64"/>
      <c r="BH30" s="60">
        <v>56.577568199882194</v>
      </c>
      <c r="BI30" s="64"/>
      <c r="BJ30" s="64"/>
      <c r="BK30" s="61">
        <v>2.5989962044470096</v>
      </c>
      <c r="BL30" s="65">
        <v>7.9950516500153487E-2</v>
      </c>
      <c r="BM30" s="65">
        <v>7.0842083192698593E-2</v>
      </c>
      <c r="BN30" s="64">
        <v>7.2331027847443122E-2</v>
      </c>
      <c r="BO30" s="64">
        <v>0.71764352859557756</v>
      </c>
      <c r="BP30" s="60">
        <v>31.894775196794601</v>
      </c>
      <c r="BQ30" s="64"/>
      <c r="BR30" s="64"/>
      <c r="BS30" s="66"/>
      <c r="BT30" s="61">
        <v>39.376998901367195</v>
      </c>
      <c r="BU30" s="67">
        <v>3.0329287381438483</v>
      </c>
      <c r="BV30" s="66"/>
      <c r="BW30" s="68" t="s">
        <v>77</v>
      </c>
    </row>
    <row r="31" spans="1:75">
      <c r="A31" s="672" t="s">
        <v>270</v>
      </c>
      <c r="B31" s="672" t="s">
        <v>25</v>
      </c>
      <c r="C31" s="1457">
        <f>AVERAGE(BO15:BO20)</f>
        <v>364.24536205898244</v>
      </c>
      <c r="D31" s="673">
        <f>STDEV(BO15:BO20)</f>
        <v>179.71959168008044</v>
      </c>
      <c r="E31" s="1457">
        <v>359.43918336016088</v>
      </c>
      <c r="F31" s="1556">
        <f>AVERAGE(BO21:BO29)</f>
        <v>0.67862690979194817</v>
      </c>
      <c r="G31" s="802">
        <f>STDEV(BO21:BO29)</f>
        <v>1.2354571086020281</v>
      </c>
      <c r="H31" s="1556">
        <v>2.4709142172040561</v>
      </c>
      <c r="I31" s="1554">
        <f>AVERAGE(BO30:BO33)</f>
        <v>0.3177510520610563</v>
      </c>
      <c r="J31" s="405">
        <f>STDEV(BO30:BO33)</f>
        <v>0.29872746931274652</v>
      </c>
      <c r="K31" s="1554">
        <v>0.59745493862549304</v>
      </c>
      <c r="L31" s="1323">
        <v>1146.3230717769336</v>
      </c>
      <c r="M31" s="571">
        <v>1217.0968914744371</v>
      </c>
      <c r="N31" s="862">
        <v>2434.1937829488743</v>
      </c>
      <c r="O31" s="732">
        <v>0.95</v>
      </c>
      <c r="P31" s="732">
        <v>-4.2</v>
      </c>
      <c r="Q31" s="779">
        <v>0.45948955400000002</v>
      </c>
      <c r="R31" s="749">
        <f t="shared" si="0"/>
        <v>0.14989699570024584</v>
      </c>
      <c r="S31" s="749">
        <v>1138.6092711828555</v>
      </c>
      <c r="T31" s="749">
        <v>8871.7301991869008</v>
      </c>
      <c r="U31" s="749">
        <v>1611.7745526821154</v>
      </c>
      <c r="V31" s="749">
        <v>6121.3463753219294</v>
      </c>
      <c r="W31" s="889">
        <f t="shared" si="1"/>
        <v>2750.383823864971</v>
      </c>
      <c r="X31" s="732">
        <f t="shared" si="2"/>
        <v>0.41678658150558257</v>
      </c>
      <c r="Y31" s="732">
        <f t="shared" si="3"/>
        <v>0.44251892441837964</v>
      </c>
      <c r="Z31" s="732"/>
      <c r="AA31" s="732">
        <f>C31/AVERAGE(BO22,BO24,BO25,BO28,BO29)</f>
        <v>536.73875409781772</v>
      </c>
      <c r="AB31" s="857">
        <v>536.73875409781772</v>
      </c>
      <c r="AC31" s="406">
        <v>1012.3975101671263</v>
      </c>
      <c r="AD31" s="909">
        <v>2024.7950203342525</v>
      </c>
      <c r="AE31" s="1541">
        <f>AVERAGE(BO22,BO24,BO25,BO28,BO29)/I31</f>
        <v>2.1357188446430353</v>
      </c>
      <c r="AF31" s="749"/>
      <c r="AG31" s="912">
        <v>2.1357188446430353</v>
      </c>
      <c r="AH31" s="909">
        <v>4.3759601895540676</v>
      </c>
      <c r="AI31" s="904">
        <v>8.7519203791081353</v>
      </c>
      <c r="AJ31" s="672" t="s">
        <v>25</v>
      </c>
      <c r="AL31" s="59" t="s">
        <v>78</v>
      </c>
      <c r="AM31" s="60"/>
      <c r="AN31" s="61">
        <v>16.37443744302972</v>
      </c>
      <c r="AO31" s="60"/>
      <c r="AP31" s="60">
        <v>1241246.4307262457</v>
      </c>
      <c r="AQ31" s="60">
        <v>111.02447250756899</v>
      </c>
      <c r="AR31" s="62">
        <v>68900</v>
      </c>
      <c r="AS31" s="60">
        <v>68879.785798791621</v>
      </c>
      <c r="AT31" s="60">
        <v>1419.7257353648235</v>
      </c>
      <c r="AU31" s="60"/>
      <c r="AV31" s="60"/>
      <c r="AW31" s="64">
        <v>1.4356397911515943</v>
      </c>
      <c r="AX31" s="63">
        <v>0.86</v>
      </c>
      <c r="AY31" s="60">
        <v>26.637008978994569</v>
      </c>
      <c r="AZ31" s="63" t="s">
        <v>1329</v>
      </c>
      <c r="BA31" s="61">
        <v>2.9076518196372123</v>
      </c>
      <c r="BB31" s="60">
        <v>132.23213992754242</v>
      </c>
      <c r="BC31" s="60">
        <v>122.8576035248376</v>
      </c>
      <c r="BD31" s="64">
        <v>0.37715830167032349</v>
      </c>
      <c r="BE31" s="64">
        <v>0.13535744037038025</v>
      </c>
      <c r="BF31" s="60">
        <v>42.368481338239036</v>
      </c>
      <c r="BG31" s="64"/>
      <c r="BH31" s="60">
        <v>35.600181070912988</v>
      </c>
      <c r="BI31" s="64"/>
      <c r="BJ31" s="64"/>
      <c r="BK31" s="61">
        <v>3.2622024910356804</v>
      </c>
      <c r="BL31" s="65">
        <v>7.0374994877249325E-3</v>
      </c>
      <c r="BM31" s="65">
        <v>1.0150689269646766E-2</v>
      </c>
      <c r="BN31" s="60"/>
      <c r="BO31" s="65">
        <v>7.7805749391292988E-3</v>
      </c>
      <c r="BP31" s="61">
        <v>9.0547403337384065</v>
      </c>
      <c r="BQ31" s="64"/>
      <c r="BR31" s="64"/>
      <c r="BS31" s="66"/>
      <c r="BT31" s="61">
        <v>43.451002120971694</v>
      </c>
      <c r="BU31" s="67">
        <v>3.687085796555476</v>
      </c>
      <c r="BV31" s="66"/>
      <c r="BW31" s="68" t="s">
        <v>77</v>
      </c>
    </row>
    <row r="32" spans="1:75">
      <c r="A32" s="672" t="s">
        <v>270</v>
      </c>
      <c r="B32" s="672" t="s">
        <v>26</v>
      </c>
      <c r="C32" s="1457">
        <f>AVERAGE(BP15:BP20)</f>
        <v>249.95633833231531</v>
      </c>
      <c r="D32" s="673">
        <f>STDEV(BP15:BP20)</f>
        <v>28.665051983404272</v>
      </c>
      <c r="E32" s="1457">
        <v>57.330103966808544</v>
      </c>
      <c r="F32" s="753">
        <f>AVERAGE(BP21:BP29)</f>
        <v>1.8688096986580385</v>
      </c>
      <c r="G32" s="753">
        <f>STDEV(BP21:BP29)</f>
        <v>2.3704955060979063</v>
      </c>
      <c r="H32" s="753">
        <v>4.7409910121958125</v>
      </c>
      <c r="I32" s="405">
        <f>AVERAGE(BP30:BP33)</f>
        <v>19.101541076608534</v>
      </c>
      <c r="J32" s="405">
        <f>STDEV(BP30:BP33)</f>
        <v>9.9131311216265718</v>
      </c>
      <c r="K32" s="405">
        <v>19.826262243253144</v>
      </c>
      <c r="L32" s="1323">
        <v>13.085663472378581</v>
      </c>
      <c r="M32" s="571">
        <v>6.9548996944693693</v>
      </c>
      <c r="N32" s="862">
        <v>13.909799388938739</v>
      </c>
      <c r="O32" s="732">
        <v>0.37</v>
      </c>
      <c r="P32" s="732">
        <v>-1.72</v>
      </c>
      <c r="Q32" s="779">
        <v>0.45948955400000002</v>
      </c>
      <c r="R32" s="749">
        <f t="shared" si="0"/>
        <v>0.14989699570024584</v>
      </c>
      <c r="S32" s="749">
        <v>6.7450108873761057</v>
      </c>
      <c r="T32" s="749">
        <v>15.636078702483491</v>
      </c>
      <c r="U32" s="749">
        <v>2.9341539685229208</v>
      </c>
      <c r="V32" s="749">
        <v>5.9569138465844649</v>
      </c>
      <c r="W32" s="889">
        <f t="shared" si="1"/>
        <v>9.6791648558990264</v>
      </c>
      <c r="X32" s="732">
        <f t="shared" si="2"/>
        <v>1.3519413779178937</v>
      </c>
      <c r="Y32" s="732">
        <f t="shared" si="3"/>
        <v>0.71854336588044199</v>
      </c>
      <c r="Z32" s="732"/>
      <c r="AA32" s="732"/>
      <c r="AB32" s="857">
        <v>133.75162731218961</v>
      </c>
      <c r="AC32" s="406">
        <v>170.34949701438435</v>
      </c>
      <c r="AD32" s="909">
        <v>340.69899402876871</v>
      </c>
      <c r="AE32" s="749"/>
      <c r="AF32" s="749"/>
      <c r="AG32" s="912">
        <v>9.7835545894595657E-2</v>
      </c>
      <c r="AH32" s="909">
        <v>0.13408470313969637</v>
      </c>
      <c r="AI32" s="904">
        <v>0.26816940627939273</v>
      </c>
      <c r="AJ32" s="672" t="s">
        <v>26</v>
      </c>
      <c r="AL32" s="59" t="s">
        <v>80</v>
      </c>
      <c r="AM32" s="60"/>
      <c r="AN32" s="61">
        <v>10.254257868655291</v>
      </c>
      <c r="AO32" s="60"/>
      <c r="AP32" s="60">
        <v>731615.77400263143</v>
      </c>
      <c r="AQ32" s="60">
        <v>91.59135104798051</v>
      </c>
      <c r="AR32" s="62">
        <v>68900</v>
      </c>
      <c r="AS32" s="60">
        <v>65884.367089660605</v>
      </c>
      <c r="AT32" s="60">
        <v>1228.6590664938942</v>
      </c>
      <c r="AU32" s="60"/>
      <c r="AV32" s="60"/>
      <c r="AW32" s="61">
        <v>1.2610945068749095</v>
      </c>
      <c r="AX32" s="64">
        <v>0.92382853968951195</v>
      </c>
      <c r="AY32" s="60">
        <v>17.61212982475492</v>
      </c>
      <c r="AZ32" s="63" t="s">
        <v>1330</v>
      </c>
      <c r="BA32" s="61">
        <v>4.4039153913886153</v>
      </c>
      <c r="BB32" s="60">
        <v>86.221689365239413</v>
      </c>
      <c r="BC32" s="60">
        <v>85.010919988268924</v>
      </c>
      <c r="BD32" s="64">
        <v>0.43678019341961283</v>
      </c>
      <c r="BE32" s="64">
        <v>0.79531826608159328</v>
      </c>
      <c r="BF32" s="60">
        <v>44.357091030096846</v>
      </c>
      <c r="BG32" s="64"/>
      <c r="BH32" s="60">
        <v>39.72827676832695</v>
      </c>
      <c r="BI32" s="64"/>
      <c r="BJ32" s="64"/>
      <c r="BK32" s="61">
        <v>2.0006290144401002</v>
      </c>
      <c r="BL32" s="63" t="s">
        <v>58</v>
      </c>
      <c r="BM32" s="65">
        <v>6.5443177107662905E-3</v>
      </c>
      <c r="BN32" s="64">
        <v>2.5766714415129059E-2</v>
      </c>
      <c r="BO32" s="64">
        <v>0.21083995025352478</v>
      </c>
      <c r="BP32" s="60">
        <v>14.09280425082865</v>
      </c>
      <c r="BQ32" s="64"/>
      <c r="BR32" s="64"/>
      <c r="BS32" s="66"/>
      <c r="BT32" s="61">
        <v>44.130002975463896</v>
      </c>
      <c r="BU32" s="67">
        <v>3.3102579357304034</v>
      </c>
      <c r="BV32" s="66"/>
      <c r="BW32" s="68" t="s">
        <v>81</v>
      </c>
    </row>
    <row r="33" spans="1:75" ht="17" thickBot="1">
      <c r="A33" s="435" t="s">
        <v>313</v>
      </c>
      <c r="B33" s="435" t="s">
        <v>27</v>
      </c>
      <c r="C33" s="1471">
        <f>AVERAGE(BQ58:BQ59)</f>
        <v>6.4278511472737707E-2</v>
      </c>
      <c r="D33" s="1471">
        <f>STDEV(BQ58:BQ59)</f>
        <v>1.0186377488209956E-4</v>
      </c>
      <c r="E33" s="1471">
        <v>2.0372754976419913E-4</v>
      </c>
      <c r="F33" s="1558">
        <f>AVERAGE(BQ64:BQ72)</f>
        <v>2.3073983894660657</v>
      </c>
      <c r="G33" s="802">
        <f>STDEV(BQ64:BQ72)</f>
        <v>2.7885720635757321</v>
      </c>
      <c r="H33" s="1558">
        <v>5.5771441271514641</v>
      </c>
      <c r="I33" s="1453">
        <f>AVERAGE(BQ73:BQ76)</f>
        <v>262.76169275026029</v>
      </c>
      <c r="J33" s="434">
        <f>STDEV(BQ73:BQ76)</f>
        <v>39.71971429046868</v>
      </c>
      <c r="K33" s="1453">
        <v>79.43942858093736</v>
      </c>
      <c r="L33" s="1310">
        <v>2.4462664553554501E-4</v>
      </c>
      <c r="M33" s="1333">
        <v>3.6980407231314454E-5</v>
      </c>
      <c r="N33" s="1512">
        <v>7.3960814462628908E-5</v>
      </c>
      <c r="O33" s="721">
        <v>2.5000000000000001E-2</v>
      </c>
      <c r="P33" s="721">
        <v>3</v>
      </c>
      <c r="Q33" s="778">
        <v>0.45948955400000002</v>
      </c>
      <c r="R33" s="573">
        <f t="shared" si="0"/>
        <v>0.14989699570024584</v>
      </c>
      <c r="S33" s="1333">
        <f>O33*(((1-(2*C47))/(1-C47))^P33)</f>
        <v>3.6477271958699352E-5</v>
      </c>
      <c r="T33" s="1333">
        <f>O33*(((1-(2*C46))/(1-C46))^P33)</f>
        <v>1.5808967301957446E-4</v>
      </c>
      <c r="U33" s="1333">
        <v>4.7724027619358798E-5</v>
      </c>
      <c r="V33" s="1333">
        <v>7.3888373441516312E-5</v>
      </c>
      <c r="W33" s="1364">
        <f t="shared" si="1"/>
        <v>8.420129957805815E-5</v>
      </c>
      <c r="X33" s="721">
        <f t="shared" si="2"/>
        <v>2.9052597378115976</v>
      </c>
      <c r="Y33" s="721">
        <f>X33*(M33/L33)</f>
        <v>0.43919045687688063</v>
      </c>
      <c r="Z33" s="573">
        <f>AVERAGE(0.064, 0.064, 0.52, 4.02, 2.17, 0.92)/F33</f>
        <v>0.56037137145579852</v>
      </c>
      <c r="AA33" s="721"/>
      <c r="AB33" s="868">
        <v>2.7857569705425606E-2</v>
      </c>
      <c r="AC33" s="571">
        <v>3.3666881185375946E-2</v>
      </c>
      <c r="AD33" s="909">
        <v>6.7333762370751893E-2</v>
      </c>
      <c r="AE33" s="570"/>
      <c r="AF33" s="433">
        <f>AVERAGE(BQ64:BQ68,0.56,BQ70:BQ72)/I33</f>
        <v>8.0424318733067369E-3</v>
      </c>
      <c r="AG33" s="1531">
        <v>8.7813347726417405E-3</v>
      </c>
      <c r="AH33" s="1545">
        <v>1.0695245117326391E-2</v>
      </c>
      <c r="AI33" s="1546">
        <v>2.1390490234652781E-2</v>
      </c>
      <c r="AJ33" s="435" t="s">
        <v>27</v>
      </c>
      <c r="AL33" s="207" t="s">
        <v>166</v>
      </c>
      <c r="AM33" s="141"/>
      <c r="AN33" s="143">
        <v>7.4648534076656645</v>
      </c>
      <c r="AO33" s="150"/>
      <c r="AP33" s="141">
        <v>619153.27433486294</v>
      </c>
      <c r="AQ33" s="141">
        <v>107.08262147932707</v>
      </c>
      <c r="AR33" s="142">
        <v>68900</v>
      </c>
      <c r="AS33" s="141">
        <v>68476.860611260607</v>
      </c>
      <c r="AT33" s="141">
        <v>876.72087236191373</v>
      </c>
      <c r="AU33" s="141"/>
      <c r="AV33" s="145"/>
      <c r="AW33" s="143">
        <v>2.6904524453781544</v>
      </c>
      <c r="AX33" s="143">
        <v>2.7615651461670137</v>
      </c>
      <c r="AY33" s="141">
        <v>11.847568974019103</v>
      </c>
      <c r="AZ33" s="144" t="s">
        <v>1331</v>
      </c>
      <c r="BA33" s="143">
        <v>8.1252589098010048</v>
      </c>
      <c r="BB33" s="141">
        <v>76.406569090513742</v>
      </c>
      <c r="BC33" s="141">
        <v>64.877757873601723</v>
      </c>
      <c r="BD33" s="145">
        <v>0.8530819749698344</v>
      </c>
      <c r="BE33" s="143">
        <v>1.7509511299313141</v>
      </c>
      <c r="BF33" s="141">
        <v>53.842653559809797</v>
      </c>
      <c r="BG33" s="145"/>
      <c r="BH33" s="141">
        <v>50.212220497505463</v>
      </c>
      <c r="BI33" s="145"/>
      <c r="BJ33" s="145"/>
      <c r="BK33" s="143">
        <v>1.802386677717307</v>
      </c>
      <c r="BL33" s="144" t="s">
        <v>167</v>
      </c>
      <c r="BM33" s="145">
        <v>3.3337765251783065E-2</v>
      </c>
      <c r="BN33" s="145">
        <v>2.8816181665283727E-2</v>
      </c>
      <c r="BO33" s="145">
        <v>0.33474015445599364</v>
      </c>
      <c r="BP33" s="141">
        <v>21.363844525072473</v>
      </c>
      <c r="BQ33" s="145"/>
      <c r="BR33" s="145"/>
      <c r="BS33" s="146"/>
      <c r="BT33" s="147">
        <v>39.376998901367195</v>
      </c>
      <c r="BU33" s="148">
        <v>2.3889225590300516</v>
      </c>
      <c r="BV33" s="146"/>
      <c r="BW33" s="146" t="s">
        <v>168</v>
      </c>
    </row>
    <row r="34" spans="1:75">
      <c r="A34" s="435" t="s">
        <v>313</v>
      </c>
      <c r="B34" s="435" t="s">
        <v>28</v>
      </c>
      <c r="C34" s="751" t="e">
        <f>AVERAGE(BR58:BR63)</f>
        <v>#DIV/0!</v>
      </c>
      <c r="D34" s="751" t="e">
        <f>STDEV(BR58:BR59)</f>
        <v>#DIV/0!</v>
      </c>
      <c r="E34" s="751" t="e">
        <v>#DIV/0!</v>
      </c>
      <c r="F34" s="1558">
        <f>AVERAGE(BR64:BR72)</f>
        <v>2.5900293883322889</v>
      </c>
      <c r="G34" s="802">
        <f>STDEV(BR64:BR72)</f>
        <v>3.5683714837712457</v>
      </c>
      <c r="H34" s="1558">
        <v>7.1367429675424914</v>
      </c>
      <c r="I34" s="1453">
        <f>AVERAGE(BR73:BR76)</f>
        <v>337.21972196053707</v>
      </c>
      <c r="J34" s="434">
        <f>STDEV(BR73:BR76)</f>
        <v>53.441603685321276</v>
      </c>
      <c r="K34" s="1453">
        <v>106.88320737064255</v>
      </c>
      <c r="L34" s="1341" t="e">
        <v>#DIV/0!</v>
      </c>
      <c r="M34" s="1339" t="e">
        <v>#DIV/0!</v>
      </c>
      <c r="N34" s="1340" t="e">
        <v>#DIV/0!</v>
      </c>
      <c r="O34" s="721">
        <v>1.2E-2</v>
      </c>
      <c r="P34" s="721">
        <v>7.5</v>
      </c>
      <c r="Q34" s="778">
        <v>0.45948955400000002</v>
      </c>
      <c r="R34" s="573">
        <f t="shared" si="0"/>
        <v>0.14989699570024584</v>
      </c>
      <c r="S34" s="1355">
        <f>O34*(((1-(2*C47))/(1-C47))^P34)</f>
        <v>9.7585906810013506E-10</v>
      </c>
      <c r="T34" s="1355">
        <f>O34*(((1-(2*C46))/(1-C46))^P34)</f>
        <v>3.815838428316586E-8</v>
      </c>
      <c r="U34" s="1355">
        <v>6.92416129435971E-9</v>
      </c>
      <c r="V34" s="1355">
        <v>3.0258363920706019E-8</v>
      </c>
      <c r="W34" s="1365">
        <f t="shared" si="1"/>
        <v>7.900020362459845E-9</v>
      </c>
      <c r="X34" s="731" t="e">
        <f>L34/W34</f>
        <v>#DIV/0!</v>
      </c>
      <c r="Y34" s="735" t="e">
        <f>X34*(M34/L34)</f>
        <v>#DIV/0!</v>
      </c>
      <c r="Z34" s="1396">
        <f>AVERAGE(0.2, 0.19, 0.24, 1.3, 1.03, 0.43)/F34</f>
        <v>0.21814424289749146</v>
      </c>
      <c r="AA34" s="735"/>
      <c r="AB34" s="891" t="e">
        <v>#DIV/0!</v>
      </c>
      <c r="AC34" s="751" t="e">
        <v>#DIV/0!</v>
      </c>
      <c r="AD34" s="908" t="e">
        <v>#DIV/0!</v>
      </c>
      <c r="AE34" s="570"/>
      <c r="AF34" s="433">
        <f>AVERAGE(BR64:BR68,0.45,BR70:BR72)/I34</f>
        <v>6.9754174859901208E-3</v>
      </c>
      <c r="AG34" s="1531">
        <v>7.6805394811261529E-3</v>
      </c>
      <c r="AH34" s="1545">
        <v>1.0651515196091426E-2</v>
      </c>
      <c r="AI34" s="1546">
        <v>2.1303030392182853E-2</v>
      </c>
      <c r="AJ34" s="435" t="s">
        <v>28</v>
      </c>
      <c r="AL34" s="20" t="s">
        <v>98</v>
      </c>
      <c r="AM34" s="21"/>
      <c r="AN34" s="22">
        <v>22.616364833393686</v>
      </c>
      <c r="AO34" s="26"/>
      <c r="AP34" s="22">
        <v>917097.52053598606</v>
      </c>
      <c r="AQ34" s="22">
        <v>4624.2053047763002</v>
      </c>
      <c r="AR34" s="24">
        <v>55500</v>
      </c>
      <c r="AS34" s="22">
        <v>55192.913561714238</v>
      </c>
      <c r="AT34" s="22">
        <v>150.85843455942327</v>
      </c>
      <c r="AU34" s="22"/>
      <c r="AV34" s="25"/>
      <c r="AW34" s="22">
        <v>59.342289305701961</v>
      </c>
      <c r="AX34" s="22">
        <v>58.606659808546091</v>
      </c>
      <c r="AY34" s="22">
        <v>175.56398975021096</v>
      </c>
      <c r="AZ34" s="22">
        <v>173.11344523698779</v>
      </c>
      <c r="BA34" s="25">
        <v>4.4665947706748419</v>
      </c>
      <c r="BB34" s="25">
        <v>6.5633455663389197</v>
      </c>
      <c r="BC34" s="25">
        <v>7.5763381723272891</v>
      </c>
      <c r="BD34" s="22">
        <v>19.446917880538994</v>
      </c>
      <c r="BE34" s="25">
        <v>2.1437394964521088</v>
      </c>
      <c r="BF34" s="25">
        <v>1.6449455813572789</v>
      </c>
      <c r="BG34" s="26"/>
      <c r="BH34" s="25">
        <v>1.4951843611566462</v>
      </c>
      <c r="BI34" s="26"/>
      <c r="BJ34" s="26"/>
      <c r="BK34" s="25">
        <v>3.1447041138077467</v>
      </c>
      <c r="BL34" s="25">
        <v>1.1240152795303455</v>
      </c>
      <c r="BM34" s="22">
        <v>9.9252205207433803</v>
      </c>
      <c r="BN34" s="22">
        <v>15.260000637911036</v>
      </c>
      <c r="BO34" s="22">
        <v>29.181591444347006</v>
      </c>
      <c r="BP34" s="26">
        <v>0.76303264024308903</v>
      </c>
      <c r="BQ34" s="26"/>
      <c r="BR34" s="26"/>
      <c r="BS34" s="27"/>
      <c r="BT34" s="25">
        <v>38.698001861572301</v>
      </c>
      <c r="BU34" s="28">
        <v>1.0112395623485642</v>
      </c>
      <c r="BV34" s="27"/>
      <c r="BW34" s="29" t="s">
        <v>87</v>
      </c>
    </row>
    <row r="35" spans="1:75" ht="17" thickBot="1">
      <c r="A35" s="1294" t="s">
        <v>1395</v>
      </c>
      <c r="B35" s="1294" t="s">
        <v>6</v>
      </c>
      <c r="C35" s="1294"/>
      <c r="D35" s="1294"/>
      <c r="E35" s="1294"/>
      <c r="F35" s="1294"/>
      <c r="G35" s="1294"/>
      <c r="H35" s="1294"/>
      <c r="I35" s="1294"/>
      <c r="J35" s="1294"/>
      <c r="K35" s="1294"/>
      <c r="L35" s="1306">
        <f>J40/D40</f>
        <v>1.4037871691474662</v>
      </c>
      <c r="M35" s="1304">
        <f>L35*SQRT((K40/J40)^2 + (E40/D40)^2)</f>
        <v>1.5140967661255991E-2</v>
      </c>
      <c r="N35" s="1305">
        <f>2*M35</f>
        <v>3.0281935322511982E-2</v>
      </c>
      <c r="O35" s="1294"/>
      <c r="P35" s="1294"/>
      <c r="Q35" s="1294"/>
      <c r="R35" s="1294"/>
      <c r="S35" s="1294"/>
      <c r="T35" s="1294"/>
      <c r="U35" s="1294"/>
      <c r="V35" s="1294"/>
      <c r="W35" s="1294"/>
      <c r="X35" s="1294"/>
      <c r="Y35" s="1294"/>
      <c r="Z35" s="1294"/>
      <c r="AA35" s="1294"/>
      <c r="AB35" s="1306">
        <f>J40/G40</f>
        <v>1.336575901937112</v>
      </c>
      <c r="AC35" s="1304">
        <f>AB35*SQRT((K40/J40)^2 + (H40/G40)^2)</f>
        <v>1.101125148199365E-2</v>
      </c>
      <c r="AD35" s="1305">
        <f>2*AC35</f>
        <v>2.2022502963987299E-2</v>
      </c>
      <c r="AE35"/>
      <c r="AF35"/>
      <c r="AG35" s="1304">
        <f>G40/D40</f>
        <v>1.0502861581695018</v>
      </c>
      <c r="AH35" s="1304">
        <f>AG35*SQRT((E40/D40)^2 + (H40/G40)^2)</f>
        <v>1.206982436653061E-2</v>
      </c>
      <c r="AI35" s="1305">
        <f>2*AH35</f>
        <v>2.4139648733061219E-2</v>
      </c>
      <c r="AL35" s="30" t="s">
        <v>99</v>
      </c>
      <c r="AM35" s="70"/>
      <c r="AN35" s="32">
        <v>23.795988952973687</v>
      </c>
      <c r="AO35" s="35"/>
      <c r="AP35" s="32">
        <v>973980.54827707261</v>
      </c>
      <c r="AQ35" s="32">
        <v>4659.4873356322169</v>
      </c>
      <c r="AR35" s="33">
        <v>55500</v>
      </c>
      <c r="AS35" s="32">
        <v>55807.190677963154</v>
      </c>
      <c r="AT35" s="32">
        <v>141.7838622615937</v>
      </c>
      <c r="AU35" s="32"/>
      <c r="AV35" s="34"/>
      <c r="AW35" s="32">
        <v>57.714614804475922</v>
      </c>
      <c r="AX35" s="32">
        <v>58.447904337385623</v>
      </c>
      <c r="AY35" s="32">
        <v>181.67397169938937</v>
      </c>
      <c r="AZ35" s="32">
        <v>184.09940478351928</v>
      </c>
      <c r="BA35" s="34">
        <v>4.2133548256320488</v>
      </c>
      <c r="BB35" s="34">
        <v>6.3544368730008314</v>
      </c>
      <c r="BC35" s="34">
        <v>5.3452153110313834</v>
      </c>
      <c r="BD35" s="32">
        <v>20.911102314330652</v>
      </c>
      <c r="BE35" s="34">
        <v>2.0945553299168918</v>
      </c>
      <c r="BF35" s="34">
        <v>1.2434143294474418</v>
      </c>
      <c r="BG35" s="35"/>
      <c r="BH35" s="34">
        <v>1.391246726504024</v>
      </c>
      <c r="BI35" s="35"/>
      <c r="BJ35" s="35"/>
      <c r="BK35" s="34">
        <v>2.6113268307978093</v>
      </c>
      <c r="BL35" s="34">
        <v>1.1762974993974316</v>
      </c>
      <c r="BM35" s="34">
        <v>9.1269768718399256</v>
      </c>
      <c r="BN35" s="32">
        <v>15.214673361529263</v>
      </c>
      <c r="BO35" s="32">
        <v>31.562166226037174</v>
      </c>
      <c r="BP35" s="35">
        <v>0.57038429830140125</v>
      </c>
      <c r="BQ35" s="35"/>
      <c r="BR35" s="35"/>
      <c r="BS35" s="37"/>
      <c r="BT35" s="34">
        <v>50.240001678466797</v>
      </c>
      <c r="BU35" s="38">
        <v>1.0170655451565451</v>
      </c>
      <c r="BV35" s="37"/>
      <c r="BW35" s="39" t="s">
        <v>89</v>
      </c>
    </row>
    <row r="36" spans="1:75">
      <c r="A36" s="1294" t="s">
        <v>1395</v>
      </c>
      <c r="B36" s="1294" t="s">
        <v>8</v>
      </c>
      <c r="C36" s="1294"/>
      <c r="D36" s="1294"/>
      <c r="E36" s="1294"/>
      <c r="F36" s="1294"/>
      <c r="G36" s="1294"/>
      <c r="H36" s="1294"/>
      <c r="I36" s="1294"/>
      <c r="J36" s="1294"/>
      <c r="K36" s="1294"/>
      <c r="L36" s="1307">
        <f>J41/D41</f>
        <v>2.21464282160979</v>
      </c>
      <c r="M36" s="1308">
        <f>L36*SQRT((K41/J41)^2 + (E41/D41)^2)</f>
        <v>0.2524587354791305</v>
      </c>
      <c r="N36" s="1309">
        <f>2*M36</f>
        <v>0.50491747095826101</v>
      </c>
      <c r="O36" s="1294"/>
      <c r="P36" s="1294"/>
      <c r="Q36" s="1294"/>
      <c r="R36" s="1294"/>
      <c r="S36" s="1294"/>
      <c r="T36" s="1294"/>
      <c r="U36" s="1294"/>
      <c r="V36" s="1294"/>
      <c r="W36" s="1294"/>
      <c r="X36" s="1294"/>
      <c r="Y36" s="1294"/>
      <c r="Z36" s="1294"/>
      <c r="AA36" s="1294"/>
      <c r="AB36" s="1307">
        <f>J41/G41</f>
        <v>25.949628406275799</v>
      </c>
      <c r="AC36" s="1308">
        <f>AB36*SQRT((K41/J41)^2 + (H41/G41)^2)</f>
        <v>1.5335005610618571</v>
      </c>
      <c r="AD36" s="1309">
        <f>2*AC36</f>
        <v>3.0670011221237141</v>
      </c>
      <c r="AE36"/>
      <c r="AF36"/>
      <c r="AG36" s="1513">
        <f>G41/D41</f>
        <v>8.534391271183632E-2</v>
      </c>
      <c r="AH36" s="1513">
        <f>AG36*SQRT((E41/D41)^2 + (H41/G41)^2)</f>
        <v>1.0900033629290392E-2</v>
      </c>
      <c r="AI36" s="1514">
        <f>2*AH36</f>
        <v>2.1800067258580785E-2</v>
      </c>
      <c r="AL36" s="7" t="s">
        <v>90</v>
      </c>
      <c r="AM36" s="16"/>
      <c r="AN36" s="14">
        <v>120.87301099767176</v>
      </c>
      <c r="AO36" s="14"/>
      <c r="AP36" s="18" t="s">
        <v>1258</v>
      </c>
      <c r="AQ36" s="14">
        <v>369.87481205416532</v>
      </c>
      <c r="AR36" s="15">
        <v>459</v>
      </c>
      <c r="AS36" s="18" t="s">
        <v>1260</v>
      </c>
      <c r="AT36" s="14">
        <v>351.28679187104416</v>
      </c>
      <c r="AU36" s="14"/>
      <c r="AV36" s="14"/>
      <c r="AW36" s="14">
        <v>438.57434591678526</v>
      </c>
      <c r="AX36" s="14">
        <v>363.40020904611197</v>
      </c>
      <c r="AY36" s="14">
        <v>339.15938879386704</v>
      </c>
      <c r="AZ36" s="14">
        <v>443.38720788200959</v>
      </c>
      <c r="BA36" s="14">
        <v>215.83631422799797</v>
      </c>
      <c r="BB36" s="14">
        <v>312.76131993029492</v>
      </c>
      <c r="BC36" s="14">
        <v>302.5663777447192</v>
      </c>
      <c r="BD36" s="16">
        <v>6.5891668847353245E-3</v>
      </c>
      <c r="BE36" s="13">
        <v>0.99409395338998519</v>
      </c>
      <c r="BF36" s="13">
        <v>6.4533640957815273</v>
      </c>
      <c r="BG36" s="13"/>
      <c r="BH36" s="13">
        <v>4.4320427901474302</v>
      </c>
      <c r="BI36" s="16"/>
      <c r="BJ36" s="16"/>
      <c r="BK36" s="14">
        <v>332.70244197729687</v>
      </c>
      <c r="BL36" s="14">
        <v>40.000829675340185</v>
      </c>
      <c r="BM36" s="71">
        <v>6.648824931248693E-3</v>
      </c>
      <c r="BN36" s="16">
        <v>6.9628303376984821E-2</v>
      </c>
      <c r="BO36" s="13">
        <v>2.6705472044124692</v>
      </c>
      <c r="BP36" s="14">
        <v>23.019494086709635</v>
      </c>
      <c r="BQ36" s="16"/>
      <c r="BR36" s="16"/>
      <c r="BS36" s="8"/>
      <c r="BT36" s="13">
        <v>45.488002777099595</v>
      </c>
      <c r="BU36" s="19">
        <v>0.41950218013270241</v>
      </c>
      <c r="BV36" s="8"/>
      <c r="BW36" s="2" t="s">
        <v>91</v>
      </c>
    </row>
    <row r="37" spans="1:75" ht="17" thickBot="1">
      <c r="AL37" s="7" t="s">
        <v>92</v>
      </c>
      <c r="AM37" s="16"/>
      <c r="AN37" s="14">
        <v>154.99625435491274</v>
      </c>
      <c r="AO37" s="14"/>
      <c r="AP37" s="18" t="s">
        <v>1259</v>
      </c>
      <c r="AQ37" s="14">
        <v>476.07493353791273</v>
      </c>
      <c r="AR37" s="72">
        <v>459</v>
      </c>
      <c r="AS37" s="18" t="s">
        <v>1261</v>
      </c>
      <c r="AT37" s="14">
        <v>442.39164098964926</v>
      </c>
      <c r="AU37" s="14"/>
      <c r="AV37" s="14"/>
      <c r="AW37" s="14">
        <v>566.45184556235324</v>
      </c>
      <c r="AX37" s="14">
        <v>462.66898246234092</v>
      </c>
      <c r="AY37" s="14">
        <v>430.15167475627356</v>
      </c>
      <c r="AZ37" s="14">
        <v>570.54278848076171</v>
      </c>
      <c r="BA37" s="14">
        <v>276.81736425733772</v>
      </c>
      <c r="BB37" s="14">
        <v>378.68182844882602</v>
      </c>
      <c r="BC37" s="14">
        <v>390.82340193622667</v>
      </c>
      <c r="BD37" s="16">
        <v>1.7346063247984857E-2</v>
      </c>
      <c r="BE37" s="13">
        <v>1.3668846410225262</v>
      </c>
      <c r="BF37" s="13">
        <v>7.4416285002350939</v>
      </c>
      <c r="BG37" s="13"/>
      <c r="BH37" s="13">
        <v>5.9208481955039272</v>
      </c>
      <c r="BI37" s="16"/>
      <c r="BJ37" s="16"/>
      <c r="BK37" s="14">
        <v>418.11312657314818</v>
      </c>
      <c r="BL37" s="14">
        <v>50.024416879705996</v>
      </c>
      <c r="BM37" s="14">
        <v>0</v>
      </c>
      <c r="BN37" s="16">
        <v>0.10158849391462786</v>
      </c>
      <c r="BO37" s="13">
        <v>3.0538975249155151</v>
      </c>
      <c r="BP37" s="14">
        <v>26.567449149932681</v>
      </c>
      <c r="BQ37" s="16"/>
      <c r="BR37" s="16"/>
      <c r="BS37" s="8"/>
      <c r="BT37" s="13">
        <v>42.772001266479499</v>
      </c>
      <c r="BU37" s="19">
        <v>0.95687117221854856</v>
      </c>
      <c r="BV37" s="8"/>
      <c r="BW37" s="2" t="s">
        <v>93</v>
      </c>
    </row>
    <row r="38" spans="1:75" ht="17" thickBot="1">
      <c r="B38" s="1294"/>
      <c r="C38" s="1295" t="s">
        <v>1234</v>
      </c>
      <c r="D38" s="1296" t="s">
        <v>393</v>
      </c>
      <c r="E38" s="1297" t="s">
        <v>1236</v>
      </c>
      <c r="F38" s="1298"/>
      <c r="G38" s="1262"/>
      <c r="H38" s="1262"/>
      <c r="I38" s="1296"/>
      <c r="J38" s="1298"/>
      <c r="K38" s="1298"/>
      <c r="L38" s="1298"/>
      <c r="M38" s="1298"/>
      <c r="N38" s="1298"/>
      <c r="P38" s="1298"/>
      <c r="Q38" s="1298"/>
      <c r="R38" s="1298"/>
      <c r="S38" s="1298"/>
      <c r="T38" s="1298"/>
      <c r="U38" s="1298"/>
      <c r="V38" s="1298"/>
      <c r="AL38" s="7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2"/>
    </row>
    <row r="39" spans="1:75" ht="34">
      <c r="B39" s="1294"/>
      <c r="C39" s="1299"/>
      <c r="D39" s="746" t="s">
        <v>390</v>
      </c>
      <c r="E39" s="1349" t="s">
        <v>1346</v>
      </c>
      <c r="F39" s="1423" t="s">
        <v>1416</v>
      </c>
      <c r="G39" s="746" t="s">
        <v>389</v>
      </c>
      <c r="H39" s="1349" t="s">
        <v>1347</v>
      </c>
      <c r="I39" s="1423" t="s">
        <v>1417</v>
      </c>
      <c r="J39" s="746" t="s">
        <v>388</v>
      </c>
      <c r="K39" s="1427" t="s">
        <v>1348</v>
      </c>
      <c r="L39" s="1422" t="s">
        <v>1418</v>
      </c>
      <c r="P39" s="1298"/>
      <c r="R39" s="727" t="s">
        <v>1402</v>
      </c>
      <c r="S39" s="391" t="s">
        <v>1237</v>
      </c>
      <c r="T39" s="391" t="s">
        <v>1238</v>
      </c>
      <c r="U39" s="390" t="s">
        <v>816</v>
      </c>
      <c r="V39" s="1361"/>
      <c r="AL39" s="7" t="s">
        <v>95</v>
      </c>
      <c r="AM39" s="14">
        <v>450</v>
      </c>
      <c r="AN39" s="14">
        <v>408</v>
      </c>
      <c r="AO39" s="14">
        <v>444</v>
      </c>
      <c r="AP39" s="14">
        <v>458</v>
      </c>
      <c r="AQ39" s="14">
        <v>410</v>
      </c>
      <c r="AR39" s="14">
        <v>458.7</v>
      </c>
      <c r="AS39" s="14">
        <v>458.7</v>
      </c>
      <c r="AT39" s="14">
        <v>441</v>
      </c>
      <c r="AU39" s="14">
        <v>460</v>
      </c>
      <c r="AV39" s="14">
        <v>460</v>
      </c>
      <c r="AW39" s="14">
        <v>433</v>
      </c>
      <c r="AX39" s="14">
        <v>433</v>
      </c>
      <c r="AY39" s="14">
        <v>447</v>
      </c>
      <c r="AZ39" s="14">
        <v>447</v>
      </c>
      <c r="BA39" s="14">
        <v>325</v>
      </c>
      <c r="BB39" s="14">
        <v>417</v>
      </c>
      <c r="BC39" s="14">
        <v>417</v>
      </c>
      <c r="BD39" s="13" t="s">
        <v>94</v>
      </c>
      <c r="BE39" s="13">
        <v>1.29</v>
      </c>
      <c r="BF39" s="13">
        <v>1.05</v>
      </c>
      <c r="BG39" s="14">
        <v>251</v>
      </c>
      <c r="BH39" s="13" t="s">
        <v>94</v>
      </c>
      <c r="BI39" s="14">
        <v>430</v>
      </c>
      <c r="BJ39" s="14">
        <v>396</v>
      </c>
      <c r="BK39" s="14">
        <v>444</v>
      </c>
      <c r="BL39" s="14">
        <v>49</v>
      </c>
      <c r="BM39" s="13" t="s">
        <v>94</v>
      </c>
      <c r="BN39" s="13" t="s">
        <v>94</v>
      </c>
      <c r="BO39" s="13">
        <v>3.15</v>
      </c>
      <c r="BP39" s="13">
        <v>22.1</v>
      </c>
      <c r="BQ39" s="14">
        <v>426</v>
      </c>
      <c r="BR39" s="14">
        <v>357.7</v>
      </c>
      <c r="BS39" s="8"/>
      <c r="BT39" s="8"/>
      <c r="BU39" s="8"/>
      <c r="BV39" s="8"/>
      <c r="BW39" s="2"/>
    </row>
    <row r="40" spans="1:75" ht="35" thickBot="1">
      <c r="B40" s="1294"/>
      <c r="C40" s="1300" t="s">
        <v>6</v>
      </c>
      <c r="D40" s="1429">
        <v>58.359333333333325</v>
      </c>
      <c r="E40" s="1301">
        <v>0.55445490183596968</v>
      </c>
      <c r="F40" s="1432" cm="1">
        <f t="array" ref="F40:F42">2*E40:E42</f>
        <v>1.1089098036719394</v>
      </c>
      <c r="G40" s="1429">
        <v>61.293999999999997</v>
      </c>
      <c r="H40" s="1301">
        <v>0.39628945650033859</v>
      </c>
      <c r="I40" s="1432" cm="1">
        <f t="array" ref="I40:I42">2*H40:H42</f>
        <v>0.79257891300067718</v>
      </c>
      <c r="J40" s="1429">
        <v>81.924083333333343</v>
      </c>
      <c r="K40" s="1301">
        <v>0.41829490648091572</v>
      </c>
      <c r="L40" s="1430" cm="1">
        <f t="array" ref="L40:L42">2*K40:K42</f>
        <v>0.83658981296183144</v>
      </c>
      <c r="P40" s="1298"/>
      <c r="R40" s="389"/>
      <c r="S40" s="728" t="s">
        <v>1239</v>
      </c>
      <c r="T40" s="728" t="s">
        <v>1240</v>
      </c>
      <c r="U40" s="729" t="s">
        <v>1241</v>
      </c>
      <c r="V40" s="1360"/>
      <c r="AL40" s="7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3"/>
      <c r="BE40" s="13"/>
      <c r="BF40" s="13"/>
      <c r="BG40" s="14"/>
      <c r="BH40" s="13"/>
      <c r="BI40" s="14"/>
      <c r="BJ40" s="14"/>
      <c r="BK40" s="14"/>
      <c r="BL40" s="14"/>
      <c r="BM40" s="13"/>
      <c r="BN40" s="13"/>
      <c r="BO40" s="13"/>
      <c r="BP40" s="13"/>
      <c r="BQ40" s="14"/>
      <c r="BR40" s="14"/>
      <c r="BS40" s="8"/>
      <c r="BT40" s="8"/>
      <c r="BU40" s="8"/>
      <c r="BV40" s="8"/>
      <c r="BW40" s="2"/>
    </row>
    <row r="41" spans="1:75">
      <c r="B41" s="1294"/>
      <c r="C41" s="1300" t="s">
        <v>8</v>
      </c>
      <c r="D41" s="1429">
        <v>7.0948235294117641</v>
      </c>
      <c r="E41" s="1301">
        <v>0.80604796369032516</v>
      </c>
      <c r="F41" s="1432">
        <v>1.6120959273806503</v>
      </c>
      <c r="G41" s="747">
        <v>0.60550000000000004</v>
      </c>
      <c r="H41" s="1301">
        <v>3.533097476404775E-2</v>
      </c>
      <c r="I41" s="1301">
        <v>7.06619495280955E-2</v>
      </c>
      <c r="J41" s="1429">
        <v>15.712499999999999</v>
      </c>
      <c r="K41" s="1301">
        <v>0.146993815578009</v>
      </c>
      <c r="L41" s="1430">
        <v>0.293987631156018</v>
      </c>
      <c r="P41" s="1262"/>
      <c r="Q41" s="1262"/>
      <c r="R41" s="1262"/>
      <c r="S41" s="1262"/>
      <c r="T41" s="1262"/>
      <c r="U41" s="1262"/>
      <c r="V41" s="1262"/>
      <c r="AL41" s="7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3"/>
      <c r="BE41" s="13"/>
      <c r="BF41" s="13"/>
      <c r="BG41" s="14"/>
      <c r="BH41" s="13"/>
      <c r="BI41" s="14"/>
      <c r="BJ41" s="14"/>
      <c r="BK41" s="14"/>
      <c r="BL41" s="14"/>
      <c r="BM41" s="13"/>
      <c r="BN41" s="13"/>
      <c r="BO41" s="13"/>
      <c r="BP41" s="13"/>
      <c r="BQ41" s="14"/>
      <c r="BR41" s="14"/>
      <c r="BS41" s="8"/>
      <c r="BT41" s="8"/>
      <c r="BU41" s="8"/>
      <c r="BV41" s="8"/>
      <c r="BW41" s="2"/>
    </row>
    <row r="42" spans="1:75" ht="17" thickBot="1">
      <c r="B42" s="1294"/>
      <c r="C42" s="1302" t="s">
        <v>380</v>
      </c>
      <c r="D42" s="1433">
        <v>31.775039215686274</v>
      </c>
      <c r="E42" s="1303">
        <v>0.69082405124110224</v>
      </c>
      <c r="F42" s="1431">
        <v>1.3816481024822045</v>
      </c>
      <c r="G42" s="1433">
        <v>35.724299999999999</v>
      </c>
      <c r="H42" s="1303">
        <v>0.44559748902145174</v>
      </c>
      <c r="I42" s="1431">
        <v>0.89119497804290349</v>
      </c>
      <c r="J42" s="748">
        <v>1.8583333333333337E-2</v>
      </c>
      <c r="K42" s="1428">
        <v>9.2191335949981801E-3</v>
      </c>
      <c r="L42" s="1434">
        <v>1.843826718999636E-2</v>
      </c>
      <c r="P42" s="1262"/>
      <c r="Q42" s="1262"/>
      <c r="R42" s="1262"/>
      <c r="S42" s="1262"/>
      <c r="T42" s="1262"/>
      <c r="U42" s="1262"/>
      <c r="V42" s="1262"/>
      <c r="AL42" s="7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3"/>
      <c r="BE42" s="13"/>
      <c r="BF42" s="13"/>
      <c r="BG42" s="14"/>
      <c r="BH42" s="13"/>
      <c r="BI42" s="14"/>
      <c r="BJ42" s="14"/>
      <c r="BK42" s="14"/>
      <c r="BL42" s="14"/>
      <c r="BM42" s="13"/>
      <c r="BN42" s="13"/>
      <c r="BO42" s="13"/>
      <c r="BP42" s="13"/>
      <c r="BQ42" s="14"/>
      <c r="BR42" s="14"/>
      <c r="BS42" s="8"/>
      <c r="BT42" s="8"/>
      <c r="BU42" s="8"/>
      <c r="BV42" s="8"/>
      <c r="BW42" s="2"/>
    </row>
    <row r="43" spans="1:75">
      <c r="B43" s="1294"/>
      <c r="C43" s="1262" t="s">
        <v>379</v>
      </c>
      <c r="D43" s="1296">
        <f>SUM(D40:D42)</f>
        <v>97.229196078431372</v>
      </c>
      <c r="E43" s="1262"/>
      <c r="F43" s="1262"/>
      <c r="G43" s="1296">
        <f>SUM(G40:G42)</f>
        <v>97.623799999999989</v>
      </c>
      <c r="H43" s="1262"/>
      <c r="I43" s="1262"/>
      <c r="J43" s="1296">
        <f>SUM(J40:J42)</f>
        <v>97.655166666666673</v>
      </c>
      <c r="K43" s="1296"/>
      <c r="L43" s="1262"/>
      <c r="M43" s="1262"/>
      <c r="P43" s="1262"/>
      <c r="Q43" s="1262"/>
      <c r="R43" s="1262"/>
      <c r="S43" s="1262"/>
      <c r="T43" s="1262"/>
      <c r="U43" s="1262"/>
      <c r="V43" s="1262"/>
    </row>
    <row r="44" spans="1:75">
      <c r="B44" s="1294"/>
      <c r="C44" s="1294"/>
      <c r="D44" s="1294"/>
      <c r="E44" s="1294"/>
      <c r="F44" s="1294"/>
      <c r="G44" s="1294"/>
      <c r="H44" s="1294"/>
      <c r="I44" s="1294"/>
      <c r="J44" s="1294"/>
      <c r="K44" s="1294"/>
      <c r="L44" s="1294"/>
      <c r="M44" s="1294"/>
      <c r="N44" s="1294"/>
      <c r="P44" s="1294"/>
      <c r="Q44" s="1294"/>
      <c r="R44" s="1294"/>
      <c r="S44" s="1294"/>
      <c r="T44" s="1294"/>
      <c r="U44" s="1294"/>
      <c r="V44" s="1294"/>
      <c r="AL44" s="715" t="s">
        <v>313</v>
      </c>
      <c r="AM44" s="73" t="s">
        <v>0</v>
      </c>
      <c r="AN44" s="74"/>
      <c r="AO44" s="74"/>
      <c r="AP44" s="173"/>
      <c r="AQ44" s="173"/>
      <c r="AR44" s="74"/>
      <c r="AS44" s="74"/>
      <c r="AT44" s="74"/>
      <c r="AU44" s="74"/>
      <c r="AV44" s="74"/>
      <c r="AW44" s="74"/>
      <c r="AX44" s="74"/>
      <c r="AY44" s="173"/>
      <c r="AZ44" s="173"/>
      <c r="BA44" s="173"/>
      <c r="BB44" s="173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</row>
    <row r="45" spans="1:75" ht="17" thickBot="1">
      <c r="B45" s="1399" t="s">
        <v>483</v>
      </c>
      <c r="C45" s="1404">
        <f>(D42/32.06)/((D42/32.06)+(D41/58.69)+(D40/55.847))</f>
        <v>0.45948955351057225</v>
      </c>
      <c r="D45" s="1399" t="s">
        <v>1413</v>
      </c>
      <c r="E45" s="1403">
        <f>2*(C45^2)*SQRT(((((E42*32.06)/ D42^2)^2)*((D40/55.845)^2 + (D41/58.693)^2)^2) + (((E40/55.845)^2 + (E41/58.693)^2)*(32.06/D42)^2))</f>
        <v>1.2538332135866387E-2</v>
      </c>
      <c r="F45" s="1294"/>
      <c r="G45" s="1294"/>
      <c r="H45" s="1294"/>
      <c r="I45" s="1294"/>
      <c r="J45" s="1294"/>
      <c r="K45" s="1294"/>
      <c r="L45" s="1294"/>
      <c r="M45" s="1294"/>
      <c r="N45" s="1294"/>
      <c r="P45" s="1294"/>
      <c r="Q45" s="1294"/>
      <c r="R45" s="1294"/>
      <c r="S45" s="1294"/>
      <c r="T45" s="1294"/>
      <c r="U45" s="1294"/>
      <c r="V45" s="1294"/>
      <c r="AL45" s="73"/>
      <c r="AM45" s="74" t="s">
        <v>1</v>
      </c>
      <c r="AN45" s="74"/>
      <c r="AO45" s="74"/>
      <c r="AP45" s="74"/>
      <c r="AQ45" s="173"/>
      <c r="AR45" s="74"/>
      <c r="AS45" s="74"/>
      <c r="AT45" s="74"/>
      <c r="AU45" s="74"/>
      <c r="AV45" s="75"/>
      <c r="AW45" s="76">
        <v>44322.6716087963</v>
      </c>
      <c r="AX45" s="74"/>
      <c r="AY45" s="75"/>
      <c r="AZ45" s="76"/>
      <c r="BA45" s="173"/>
      <c r="BB45" s="173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</row>
    <row r="46" spans="1:75">
      <c r="B46" s="1399" t="s">
        <v>1404</v>
      </c>
      <c r="C46" s="1404">
        <f>((D42-E42)/32.06)/(((D42-E42)/32.06)+((D41+E41)/58.69)+((D40+E40)/55.847))</f>
        <v>0.44905958651807365</v>
      </c>
      <c r="D46" s="1401" t="s">
        <v>1414</v>
      </c>
      <c r="E46" s="1403">
        <f>C45-C46</f>
        <v>1.0429966992498596E-2</v>
      </c>
      <c r="F46" s="1294"/>
      <c r="G46" s="1294"/>
      <c r="H46" s="1294"/>
      <c r="I46" s="1294"/>
      <c r="J46" s="1294"/>
      <c r="K46" s="1294"/>
      <c r="L46" s="1294"/>
      <c r="M46" s="1294"/>
      <c r="N46" s="1294"/>
      <c r="P46" s="1294"/>
      <c r="Q46" s="1294"/>
      <c r="R46" s="1294"/>
      <c r="S46" s="1294"/>
      <c r="T46" s="1294"/>
      <c r="U46" s="1294"/>
      <c r="V46" s="1294"/>
      <c r="AL46" s="74" t="s">
        <v>1233</v>
      </c>
      <c r="AM46" s="77" t="s">
        <v>3</v>
      </c>
      <c r="AN46" s="77" t="s">
        <v>4</v>
      </c>
      <c r="AO46" s="77" t="s">
        <v>5</v>
      </c>
      <c r="AP46" s="77" t="s">
        <v>6</v>
      </c>
      <c r="AQ46" s="77" t="s">
        <v>7</v>
      </c>
      <c r="AR46" s="78" t="s">
        <v>8</v>
      </c>
      <c r="AS46" s="77" t="s">
        <v>8</v>
      </c>
      <c r="AT46" s="77" t="s">
        <v>9</v>
      </c>
      <c r="AU46" s="77" t="s">
        <v>10</v>
      </c>
      <c r="AV46" s="77" t="s">
        <v>10</v>
      </c>
      <c r="AW46" s="77" t="s">
        <v>11</v>
      </c>
      <c r="AX46" s="77" t="s">
        <v>11</v>
      </c>
      <c r="AY46" s="77" t="s">
        <v>12</v>
      </c>
      <c r="AZ46" s="77" t="s">
        <v>12</v>
      </c>
      <c r="BA46" s="77" t="s">
        <v>13</v>
      </c>
      <c r="BB46" s="77" t="s">
        <v>14</v>
      </c>
      <c r="BC46" s="77" t="s">
        <v>14</v>
      </c>
      <c r="BD46" s="77" t="s">
        <v>15</v>
      </c>
      <c r="BE46" s="77" t="s">
        <v>16</v>
      </c>
      <c r="BF46" s="77" t="s">
        <v>17</v>
      </c>
      <c r="BG46" s="77" t="s">
        <v>18</v>
      </c>
      <c r="BH46" s="77" t="s">
        <v>17</v>
      </c>
      <c r="BI46" s="77" t="s">
        <v>19</v>
      </c>
      <c r="BJ46" s="77" t="s">
        <v>20</v>
      </c>
      <c r="BK46" s="77" t="s">
        <v>21</v>
      </c>
      <c r="BL46" s="77" t="s">
        <v>22</v>
      </c>
      <c r="BM46" s="77" t="s">
        <v>23</v>
      </c>
      <c r="BN46" s="77" t="s">
        <v>24</v>
      </c>
      <c r="BO46" s="77" t="s">
        <v>25</v>
      </c>
      <c r="BP46" s="77" t="s">
        <v>26</v>
      </c>
      <c r="BQ46" s="77" t="s">
        <v>27</v>
      </c>
      <c r="BR46" s="77" t="s">
        <v>28</v>
      </c>
      <c r="BS46" s="74"/>
      <c r="BT46" s="77" t="s">
        <v>29</v>
      </c>
      <c r="BU46" s="77" t="s">
        <v>30</v>
      </c>
      <c r="BV46" s="77"/>
      <c r="BW46" s="79" t="s">
        <v>31</v>
      </c>
    </row>
    <row r="47" spans="1:75">
      <c r="B47" s="1399" t="s">
        <v>1403</v>
      </c>
      <c r="C47" s="1404">
        <f>((D42+E42)/32.06)/(((D42+E42)/32.06)+((D41-E41)/58.69)+((D40-E40)/55.847))</f>
        <v>0.46993998719863395</v>
      </c>
      <c r="D47" s="1401" t="s">
        <v>1415</v>
      </c>
      <c r="E47" s="1403">
        <f>C47-C45</f>
        <v>1.04504336880617E-2</v>
      </c>
      <c r="AL47" s="74" t="s">
        <v>32</v>
      </c>
      <c r="AM47" s="74">
        <v>51</v>
      </c>
      <c r="AN47" s="74">
        <v>53</v>
      </c>
      <c r="AO47" s="74">
        <v>55</v>
      </c>
      <c r="AP47" s="74">
        <v>57</v>
      </c>
      <c r="AQ47" s="74">
        <v>59</v>
      </c>
      <c r="AR47" s="80">
        <v>61</v>
      </c>
      <c r="AS47" s="74">
        <v>62</v>
      </c>
      <c r="AT47" s="74">
        <v>63</v>
      </c>
      <c r="AU47" s="74">
        <v>66</v>
      </c>
      <c r="AV47" s="74">
        <v>67</v>
      </c>
      <c r="AW47" s="74">
        <v>69</v>
      </c>
      <c r="AX47" s="74">
        <v>71</v>
      </c>
      <c r="AY47" s="74">
        <v>72</v>
      </c>
      <c r="AZ47" s="74">
        <v>73</v>
      </c>
      <c r="BA47" s="74">
        <v>75</v>
      </c>
      <c r="BB47" s="74">
        <v>95</v>
      </c>
      <c r="BC47" s="74">
        <v>97</v>
      </c>
      <c r="BD47" s="74">
        <v>101</v>
      </c>
      <c r="BE47" s="74">
        <v>103</v>
      </c>
      <c r="BF47" s="74">
        <v>105</v>
      </c>
      <c r="BG47" s="74">
        <v>107</v>
      </c>
      <c r="BH47" s="74">
        <v>108</v>
      </c>
      <c r="BI47" s="74">
        <v>118</v>
      </c>
      <c r="BJ47" s="74">
        <v>121</v>
      </c>
      <c r="BK47" s="74">
        <v>184</v>
      </c>
      <c r="BL47" s="74">
        <v>185</v>
      </c>
      <c r="BM47" s="74">
        <v>189</v>
      </c>
      <c r="BN47" s="74">
        <v>193</v>
      </c>
      <c r="BO47" s="74">
        <v>195</v>
      </c>
      <c r="BP47" s="74">
        <v>197</v>
      </c>
      <c r="BQ47" s="74">
        <v>208</v>
      </c>
      <c r="BR47" s="74">
        <v>209</v>
      </c>
      <c r="BS47" s="74"/>
      <c r="BT47" s="77" t="s">
        <v>33</v>
      </c>
      <c r="BU47" s="77" t="s">
        <v>34</v>
      </c>
      <c r="BV47" s="74"/>
      <c r="BW47" s="74"/>
    </row>
    <row r="48" spans="1:75">
      <c r="AL48" s="74"/>
      <c r="AM48" s="77" t="s">
        <v>35</v>
      </c>
      <c r="AN48" s="77" t="s">
        <v>35</v>
      </c>
      <c r="AO48" s="77" t="s">
        <v>35</v>
      </c>
      <c r="AP48" s="77" t="s">
        <v>35</v>
      </c>
      <c r="AQ48" s="77" t="s">
        <v>35</v>
      </c>
      <c r="AR48" s="81" t="s">
        <v>35</v>
      </c>
      <c r="AS48" s="77" t="s">
        <v>35</v>
      </c>
      <c r="AT48" s="77" t="s">
        <v>35</v>
      </c>
      <c r="AU48" s="77" t="s">
        <v>35</v>
      </c>
      <c r="AV48" s="77" t="s">
        <v>35</v>
      </c>
      <c r="AW48" s="77" t="s">
        <v>35</v>
      </c>
      <c r="AX48" s="77" t="s">
        <v>35</v>
      </c>
      <c r="AY48" s="77" t="s">
        <v>35</v>
      </c>
      <c r="AZ48" s="77" t="s">
        <v>35</v>
      </c>
      <c r="BA48" s="77" t="s">
        <v>35</v>
      </c>
      <c r="BB48" s="77" t="s">
        <v>35</v>
      </c>
      <c r="BC48" s="77" t="s">
        <v>35</v>
      </c>
      <c r="BD48" s="77" t="s">
        <v>35</v>
      </c>
      <c r="BE48" s="77" t="s">
        <v>35</v>
      </c>
      <c r="BF48" s="77" t="s">
        <v>35</v>
      </c>
      <c r="BG48" s="77" t="s">
        <v>35</v>
      </c>
      <c r="BH48" s="77" t="s">
        <v>35</v>
      </c>
      <c r="BI48" s="77" t="s">
        <v>35</v>
      </c>
      <c r="BJ48" s="77" t="s">
        <v>35</v>
      </c>
      <c r="BK48" s="77" t="s">
        <v>35</v>
      </c>
      <c r="BL48" s="77" t="s">
        <v>35</v>
      </c>
      <c r="BM48" s="77" t="s">
        <v>35</v>
      </c>
      <c r="BN48" s="77" t="s">
        <v>35</v>
      </c>
      <c r="BO48" s="77" t="s">
        <v>35</v>
      </c>
      <c r="BP48" s="77" t="s">
        <v>35</v>
      </c>
      <c r="BQ48" s="77" t="s">
        <v>35</v>
      </c>
      <c r="BR48" s="77" t="s">
        <v>35</v>
      </c>
      <c r="BS48" s="74"/>
      <c r="BT48" s="74"/>
      <c r="BU48" s="74"/>
      <c r="BV48" s="74"/>
      <c r="BW48" s="74"/>
    </row>
    <row r="49" spans="38:75">
      <c r="AL49" s="74"/>
      <c r="AM49" s="173"/>
      <c r="AN49" s="173"/>
      <c r="AO49" s="173"/>
      <c r="AP49" s="173"/>
      <c r="AQ49" s="173"/>
      <c r="AR49" s="174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</row>
    <row r="50" spans="38:75">
      <c r="AL50" s="74" t="s">
        <v>36</v>
      </c>
      <c r="AM50" s="82">
        <v>54.3</v>
      </c>
      <c r="AN50" s="83">
        <v>2646</v>
      </c>
      <c r="AO50" s="83">
        <v>1933</v>
      </c>
      <c r="AP50" s="83">
        <v>184300</v>
      </c>
      <c r="AQ50" s="83">
        <v>506</v>
      </c>
      <c r="AR50" s="84">
        <v>10770</v>
      </c>
      <c r="AS50" s="83">
        <v>10770</v>
      </c>
      <c r="AT50" s="83">
        <v>131</v>
      </c>
      <c r="AU50" s="83">
        <v>323</v>
      </c>
      <c r="AV50" s="83">
        <v>323</v>
      </c>
      <c r="AW50" s="82">
        <v>9.7100000000000009</v>
      </c>
      <c r="AX50" s="82">
        <v>9.7100000000000009</v>
      </c>
      <c r="AY50" s="82">
        <v>32.6</v>
      </c>
      <c r="AZ50" s="82">
        <v>32.6</v>
      </c>
      <c r="BA50" s="82">
        <v>1.81</v>
      </c>
      <c r="BB50" s="82">
        <v>0.92800000000000005</v>
      </c>
      <c r="BC50" s="82">
        <v>0.92800000000000005</v>
      </c>
      <c r="BD50" s="82">
        <v>0.68300000000000005</v>
      </c>
      <c r="BE50" s="82">
        <v>0.14000000000000001</v>
      </c>
      <c r="BF50" s="82">
        <v>0.55600000000000005</v>
      </c>
      <c r="BG50" s="82">
        <v>0.19700000000000001</v>
      </c>
      <c r="BH50" s="82">
        <v>0.55600000000000005</v>
      </c>
      <c r="BI50" s="82">
        <v>1.68</v>
      </c>
      <c r="BJ50" s="82">
        <v>0.13300000000000001</v>
      </c>
      <c r="BK50" s="82">
        <v>9.0300000000000005E-2</v>
      </c>
      <c r="BL50" s="82">
        <v>3.95E-2</v>
      </c>
      <c r="BM50" s="82">
        <v>0.50600000000000001</v>
      </c>
      <c r="BN50" s="82">
        <v>0.48</v>
      </c>
      <c r="BO50" s="82">
        <v>0.98199999999999998</v>
      </c>
      <c r="BP50" s="82">
        <v>0.14799999999999999</v>
      </c>
      <c r="BQ50" s="82">
        <v>2.5299999999999998</v>
      </c>
      <c r="BR50" s="82">
        <v>0.111</v>
      </c>
      <c r="BS50" s="74"/>
      <c r="BT50" s="74"/>
      <c r="BU50" s="74"/>
      <c r="BV50" s="74"/>
      <c r="BW50" s="74"/>
    </row>
    <row r="51" spans="38:75">
      <c r="AL51" s="74" t="s">
        <v>1351</v>
      </c>
      <c r="AM51" s="82">
        <v>2.6291058297714998E-2</v>
      </c>
      <c r="AN51" s="82">
        <v>0.54366859106511656</v>
      </c>
      <c r="AO51" s="82">
        <v>0.19785339515041828</v>
      </c>
      <c r="AP51" s="82">
        <v>47.814814426858597</v>
      </c>
      <c r="AQ51" s="82">
        <v>0.37360577900888964</v>
      </c>
      <c r="AR51" s="85">
        <v>5.8228523341934499</v>
      </c>
      <c r="AS51" s="82">
        <v>17.362164596820175</v>
      </c>
      <c r="AT51" s="82">
        <v>5.5195470393239326E-2</v>
      </c>
      <c r="AU51" s="795">
        <v>0.18571539709040621</v>
      </c>
      <c r="AV51" s="82">
        <v>0.5973397119343089</v>
      </c>
      <c r="AW51" s="795">
        <v>2.6247887658094306E-2</v>
      </c>
      <c r="AX51" s="82">
        <v>5.7764721726609507E-2</v>
      </c>
      <c r="AY51" s="795">
        <v>0.70875543086614479</v>
      </c>
      <c r="AZ51" s="82">
        <v>1.2122129764285912</v>
      </c>
      <c r="BA51" s="82">
        <v>9.0704023167900397E-2</v>
      </c>
      <c r="BB51" s="795">
        <v>2.678736617929333E-2</v>
      </c>
      <c r="BC51" s="82">
        <v>4.5993764182500368E-2</v>
      </c>
      <c r="BD51" s="82"/>
      <c r="BE51" s="82">
        <v>3.2232649180557529E-3</v>
      </c>
      <c r="BF51" s="82">
        <v>2.0854434063513091E-3</v>
      </c>
      <c r="BG51" s="82">
        <v>1.839698584105267E-2</v>
      </c>
      <c r="BH51" s="82">
        <v>3.6077166151138691E-3</v>
      </c>
      <c r="BI51" s="82">
        <v>4.7618883643106527E-2</v>
      </c>
      <c r="BJ51" s="82">
        <v>2.8751586554071926E-2</v>
      </c>
      <c r="BK51" s="82">
        <v>1.7414075103936864E-2</v>
      </c>
      <c r="BL51" s="82">
        <v>8.976474603615477E-3</v>
      </c>
      <c r="BM51" s="82"/>
      <c r="BN51" s="82"/>
      <c r="BO51" s="82">
        <v>1.9789657819016163E-2</v>
      </c>
      <c r="BP51" s="82">
        <v>2.4493993870609271E-2</v>
      </c>
      <c r="BQ51" s="1392">
        <v>2.228968181536365E-2</v>
      </c>
      <c r="BR51" s="1392">
        <v>1.4446367401001923E-2</v>
      </c>
      <c r="BS51" s="74"/>
      <c r="BT51" s="74"/>
      <c r="BU51" s="74"/>
      <c r="BV51" s="74"/>
      <c r="BW51" s="74"/>
    </row>
    <row r="52" spans="38:75" ht="17" thickBot="1">
      <c r="AL52" s="79" t="s">
        <v>1352</v>
      </c>
      <c r="AM52" s="82">
        <v>3.1891677761459312E-2</v>
      </c>
      <c r="AN52" s="82">
        <v>0.44979671834666851</v>
      </c>
      <c r="AO52" s="82">
        <v>0.16254817051550105</v>
      </c>
      <c r="AP52" s="82">
        <v>38.915177045478174</v>
      </c>
      <c r="AQ52" s="82">
        <v>0.34971144328408726</v>
      </c>
      <c r="AR52" s="85">
        <v>6.0157858942620468</v>
      </c>
      <c r="AS52" s="82">
        <v>16.804786115775084</v>
      </c>
      <c r="AT52" s="82">
        <v>5.8963878592071736E-2</v>
      </c>
      <c r="AU52" s="82">
        <v>0.1437190404432811</v>
      </c>
      <c r="AV52" s="82">
        <v>0.47243353726525061</v>
      </c>
      <c r="AW52" s="82">
        <v>3.0221497777550552E-2</v>
      </c>
      <c r="AX52" s="82">
        <v>5.6056499428407298E-2</v>
      </c>
      <c r="AY52" s="82">
        <v>0.62486938278373416</v>
      </c>
      <c r="AZ52" s="82">
        <v>1.0228297151357126</v>
      </c>
      <c r="BA52" s="82">
        <v>8.2611042975336862E-2</v>
      </c>
      <c r="BB52" s="82">
        <v>3.5375646053248243E-2</v>
      </c>
      <c r="BC52" s="82">
        <v>6.1329293043808797E-2</v>
      </c>
      <c r="BD52" s="82"/>
      <c r="BE52" s="82">
        <v>2.5778038348119761E-3</v>
      </c>
      <c r="BF52" s="82">
        <v>4.5265217604837657E-3</v>
      </c>
      <c r="BG52" s="82">
        <v>2.5498884108905197E-2</v>
      </c>
      <c r="BH52" s="82">
        <v>3.8375696203870142E-3</v>
      </c>
      <c r="BI52" s="82">
        <v>4.461262202261445E-2</v>
      </c>
      <c r="BJ52" s="82">
        <v>3.3955581746705682E-2</v>
      </c>
      <c r="BK52" s="82">
        <v>3.0987611292527372E-2</v>
      </c>
      <c r="BL52" s="82">
        <v>8.8092977529965564E-3</v>
      </c>
      <c r="BM52" s="82"/>
      <c r="BN52" s="82"/>
      <c r="BO52" s="82">
        <v>1.1680627393964886E-2</v>
      </c>
      <c r="BP52" s="82">
        <v>1.8085428435527465E-2</v>
      </c>
      <c r="BQ52" s="1392">
        <v>2.973049899342908E-2</v>
      </c>
      <c r="BR52" s="1392">
        <v>1.7156614694495999E-2</v>
      </c>
      <c r="BS52" s="74"/>
      <c r="BT52" s="74"/>
      <c r="BU52" s="74"/>
      <c r="BV52" s="74"/>
      <c r="BW52" s="74"/>
    </row>
    <row r="53" spans="38:75">
      <c r="AL53" s="86" t="s">
        <v>146</v>
      </c>
      <c r="AM53" s="87">
        <v>462.59972769207019</v>
      </c>
      <c r="AN53" s="87">
        <v>413.33077467724075</v>
      </c>
      <c r="AO53" s="87">
        <v>457.08137125369296</v>
      </c>
      <c r="AP53" s="88"/>
      <c r="AQ53" s="87">
        <v>427.4346756849061</v>
      </c>
      <c r="AR53" s="89">
        <v>459</v>
      </c>
      <c r="AS53" s="87"/>
      <c r="AT53" s="87">
        <v>454.53013741602109</v>
      </c>
      <c r="AU53" s="87">
        <v>458.70554533295177</v>
      </c>
      <c r="AV53" s="87">
        <v>457.49695488837034</v>
      </c>
      <c r="AW53" s="87">
        <v>434.93892216368641</v>
      </c>
      <c r="AX53" s="87">
        <v>443.12101353241462</v>
      </c>
      <c r="AY53" s="87">
        <v>456.74839515411952</v>
      </c>
      <c r="AZ53" s="87">
        <v>457.18049588134579</v>
      </c>
      <c r="BA53" s="87">
        <v>321.16307264092563</v>
      </c>
      <c r="BB53" s="87">
        <v>438.72156341396948</v>
      </c>
      <c r="BC53" s="87">
        <v>428.46372981919114</v>
      </c>
      <c r="BD53" s="88"/>
      <c r="BE53" s="90">
        <v>1.325384122841623</v>
      </c>
      <c r="BF53" s="90">
        <v>1.1461170668378133</v>
      </c>
      <c r="BG53" s="87">
        <v>257.24273524761514</v>
      </c>
      <c r="BH53" s="90">
        <v>1.1373272445566702</v>
      </c>
      <c r="BI53" s="87">
        <v>439.84926620203271</v>
      </c>
      <c r="BJ53" s="87">
        <v>406.2432953083578</v>
      </c>
      <c r="BK53" s="87">
        <v>454.13104167166011</v>
      </c>
      <c r="BL53" s="87">
        <v>49.577245578139767</v>
      </c>
      <c r="BM53" s="88"/>
      <c r="BN53" s="88"/>
      <c r="BO53" s="90">
        <v>3.1012294023361777</v>
      </c>
      <c r="BP53" s="87">
        <v>22.888849168220336</v>
      </c>
      <c r="BQ53" s="87">
        <v>433.01920333266764</v>
      </c>
      <c r="BR53" s="87">
        <v>359.5265335393608</v>
      </c>
      <c r="BS53" s="91"/>
      <c r="BT53" s="92">
        <v>44.8090019226075</v>
      </c>
      <c r="BU53" s="93">
        <v>1.0421088895483883</v>
      </c>
      <c r="BV53" s="91"/>
      <c r="BW53" s="94" t="s">
        <v>39</v>
      </c>
    </row>
    <row r="54" spans="38:75" ht="17" thickBot="1">
      <c r="AL54" s="95" t="s">
        <v>147</v>
      </c>
      <c r="AM54" s="96">
        <v>438.13302545739322</v>
      </c>
      <c r="AN54" s="96">
        <v>403.25482780729629</v>
      </c>
      <c r="AO54" s="96">
        <v>431.64721370168985</v>
      </c>
      <c r="AP54" s="97"/>
      <c r="AQ54" s="96">
        <v>393.22504366502369</v>
      </c>
      <c r="AR54" s="98">
        <v>459</v>
      </c>
      <c r="AS54" s="96"/>
      <c r="AT54" s="96">
        <v>428.16895236761064</v>
      </c>
      <c r="AU54" s="96">
        <v>461.86955073780666</v>
      </c>
      <c r="AV54" s="96">
        <v>463.03791846291813</v>
      </c>
      <c r="AW54" s="96">
        <v>431.64873408884517</v>
      </c>
      <c r="AX54" s="96">
        <v>423.5538452919476</v>
      </c>
      <c r="AY54" s="96">
        <v>437.98603766665104</v>
      </c>
      <c r="AZ54" s="96">
        <v>437.57908462190539</v>
      </c>
      <c r="BA54" s="96">
        <v>329.1693145184575</v>
      </c>
      <c r="BB54" s="96">
        <v>396.12342965467042</v>
      </c>
      <c r="BC54" s="96">
        <v>406.23751661954316</v>
      </c>
      <c r="BD54" s="97"/>
      <c r="BE54" s="99">
        <v>1.2567791013164205</v>
      </c>
      <c r="BF54" s="97">
        <v>0.95343421423557639</v>
      </c>
      <c r="BG54" s="96">
        <v>245.18708978239252</v>
      </c>
      <c r="BH54" s="99">
        <v>0.96502883079231272</v>
      </c>
      <c r="BI54" s="96">
        <v>420.84805865114714</v>
      </c>
      <c r="BJ54" s="96">
        <v>386.47693927951684</v>
      </c>
      <c r="BK54" s="96">
        <v>434.6099111542967</v>
      </c>
      <c r="BL54" s="96">
        <v>48.496343595110943</v>
      </c>
      <c r="BM54" s="97"/>
      <c r="BN54" s="97"/>
      <c r="BO54" s="99">
        <v>3.2026386599770431</v>
      </c>
      <c r="BP54" s="96">
        <v>21.350549725716565</v>
      </c>
      <c r="BQ54" s="96">
        <v>419.64589467952089</v>
      </c>
      <c r="BR54" s="96">
        <v>356.37069567769095</v>
      </c>
      <c r="BS54" s="100"/>
      <c r="BT54" s="101">
        <v>39.377002716064496</v>
      </c>
      <c r="BU54" s="102">
        <v>1.2372065617158476</v>
      </c>
      <c r="BV54" s="100"/>
      <c r="BW54" s="103" t="s">
        <v>42</v>
      </c>
    </row>
    <row r="55" spans="38:75">
      <c r="AL55" s="104" t="s">
        <v>102</v>
      </c>
      <c r="AM55" s="105" t="s">
        <v>103</v>
      </c>
      <c r="AN55" s="106">
        <v>78.015472994211748</v>
      </c>
      <c r="AO55" s="107" t="s">
        <v>1271</v>
      </c>
      <c r="AP55" s="108"/>
      <c r="AQ55" s="106">
        <v>5810.1775471654009</v>
      </c>
      <c r="AR55" s="109">
        <v>55500</v>
      </c>
      <c r="AS55" s="106"/>
      <c r="AT55" s="106">
        <v>191.493368070515</v>
      </c>
      <c r="AU55" s="110" t="s">
        <v>1311</v>
      </c>
      <c r="AV55" s="110" t="s">
        <v>1312</v>
      </c>
      <c r="AW55" s="106">
        <v>64.632496546413577</v>
      </c>
      <c r="AX55" s="106">
        <v>78.617987010027122</v>
      </c>
      <c r="AY55" s="106">
        <v>314.53630433332904</v>
      </c>
      <c r="AZ55" s="106">
        <v>222.06422411643857</v>
      </c>
      <c r="BA55" s="111">
        <v>7.0118813378451215</v>
      </c>
      <c r="BB55" s="111">
        <v>6.3954731596227701</v>
      </c>
      <c r="BC55" s="111">
        <v>8.5532505489486912</v>
      </c>
      <c r="BD55" s="106"/>
      <c r="BE55" s="111">
        <v>2.6216905769211523</v>
      </c>
      <c r="BF55" s="107" t="s">
        <v>104</v>
      </c>
      <c r="BG55" s="107" t="s">
        <v>1316</v>
      </c>
      <c r="BH55" s="108">
        <v>0.3026518549040213</v>
      </c>
      <c r="BI55" s="107" t="s">
        <v>1322</v>
      </c>
      <c r="BJ55" s="107" t="s">
        <v>1321</v>
      </c>
      <c r="BK55" s="111">
        <v>3.2214858020471042</v>
      </c>
      <c r="BL55" s="111">
        <v>1.1661875873596208</v>
      </c>
      <c r="BM55" s="108"/>
      <c r="BN55" s="108"/>
      <c r="BO55" s="106">
        <v>36.66856583271354</v>
      </c>
      <c r="BP55" s="108">
        <v>0.79096721588396335</v>
      </c>
      <c r="BQ55" s="107" t="s">
        <v>105</v>
      </c>
      <c r="BR55" s="107" t="s">
        <v>106</v>
      </c>
      <c r="BS55" s="104"/>
      <c r="BT55" s="112">
        <v>46.845001220703196</v>
      </c>
      <c r="BU55" s="113">
        <v>0.38344658534621462</v>
      </c>
      <c r="BV55" s="104"/>
      <c r="BW55" s="104" t="s">
        <v>44</v>
      </c>
    </row>
    <row r="56" spans="38:75">
      <c r="AL56" s="104" t="s">
        <v>107</v>
      </c>
      <c r="AM56" s="110" t="s">
        <v>108</v>
      </c>
      <c r="AN56" s="106">
        <v>56.85730687546436</v>
      </c>
      <c r="AO56" s="107" t="s">
        <v>1272</v>
      </c>
      <c r="AP56" s="108"/>
      <c r="AQ56" s="106">
        <v>4740.5102575356723</v>
      </c>
      <c r="AR56" s="109">
        <v>55500</v>
      </c>
      <c r="AS56" s="106"/>
      <c r="AT56" s="106">
        <v>173.60372299834907</v>
      </c>
      <c r="AU56" s="110" t="s">
        <v>109</v>
      </c>
      <c r="AV56" s="110" t="s">
        <v>1313</v>
      </c>
      <c r="AW56" s="106">
        <v>51.123536032298261</v>
      </c>
      <c r="AX56" s="106">
        <v>65.015042316867905</v>
      </c>
      <c r="AY56" s="106">
        <v>258.69055714602473</v>
      </c>
      <c r="AZ56" s="106">
        <v>174.14659555720172</v>
      </c>
      <c r="BA56" s="111">
        <v>5.1425262333568078</v>
      </c>
      <c r="BB56" s="111">
        <v>8.5614192907438191</v>
      </c>
      <c r="BC56" s="111">
        <v>8.9796733486695466</v>
      </c>
      <c r="BD56" s="106"/>
      <c r="BE56" s="111">
        <v>2.6012354372686395</v>
      </c>
      <c r="BF56" s="108">
        <v>0.13265031431730015</v>
      </c>
      <c r="BG56" s="107" t="s">
        <v>73</v>
      </c>
      <c r="BH56" s="108">
        <v>0.29720789708477618</v>
      </c>
      <c r="BI56" s="107" t="s">
        <v>110</v>
      </c>
      <c r="BJ56" s="107" t="s">
        <v>1320</v>
      </c>
      <c r="BK56" s="111">
        <v>3.2189375160908922</v>
      </c>
      <c r="BL56" s="111">
        <v>1.2343056527575451</v>
      </c>
      <c r="BM56" s="108"/>
      <c r="BN56" s="108"/>
      <c r="BO56" s="106">
        <v>32.117668177838496</v>
      </c>
      <c r="BP56" s="107" t="s">
        <v>112</v>
      </c>
      <c r="BQ56" s="107" t="s">
        <v>113</v>
      </c>
      <c r="BR56" s="107" t="s">
        <v>114</v>
      </c>
      <c r="BS56" s="104"/>
      <c r="BT56" s="112">
        <v>46.166000366210994</v>
      </c>
      <c r="BU56" s="113">
        <v>0.43449415403645608</v>
      </c>
      <c r="BV56" s="104"/>
      <c r="BW56" s="104" t="s">
        <v>47</v>
      </c>
    </row>
    <row r="57" spans="38:75">
      <c r="AL57" s="114" t="s">
        <v>48</v>
      </c>
      <c r="AM57" s="115" t="s">
        <v>1273</v>
      </c>
      <c r="AN57" s="116">
        <v>266.22537114573208</v>
      </c>
      <c r="AO57" s="115">
        <v>3.38</v>
      </c>
      <c r="AP57" s="117"/>
      <c r="AQ57" s="116">
        <v>2818.8386422280823</v>
      </c>
      <c r="AR57" s="118">
        <v>56500</v>
      </c>
      <c r="AS57" s="116"/>
      <c r="AT57" s="116">
        <v>147.51491406137694</v>
      </c>
      <c r="AU57" s="116">
        <v>24.519382462609787</v>
      </c>
      <c r="AV57" s="116">
        <v>22.760606839765728</v>
      </c>
      <c r="AW57" s="116">
        <v>29.58722648592078</v>
      </c>
      <c r="AX57" s="116">
        <v>35.225844126719153</v>
      </c>
      <c r="AY57" s="116">
        <v>139.78816906554471</v>
      </c>
      <c r="AZ57" s="116">
        <v>101.90018298997346</v>
      </c>
      <c r="BA57" s="119">
        <v>4.0350688563071788</v>
      </c>
      <c r="BB57" s="116">
        <v>11.034067077484723</v>
      </c>
      <c r="BC57" s="119">
        <v>10.106758424761425</v>
      </c>
      <c r="BD57" s="117"/>
      <c r="BE57" s="119">
        <v>1.4704079785626372</v>
      </c>
      <c r="BF57" s="117">
        <v>0.10897798281653656</v>
      </c>
      <c r="BG57" s="117">
        <v>0.45154039591167527</v>
      </c>
      <c r="BH57" s="117">
        <v>0.23621889134063093</v>
      </c>
      <c r="BI57" s="115" t="s">
        <v>1323</v>
      </c>
      <c r="BJ57" s="115" t="s">
        <v>117</v>
      </c>
      <c r="BK57" s="119">
        <v>1.3893518446276636</v>
      </c>
      <c r="BL57" s="115" t="s">
        <v>56</v>
      </c>
      <c r="BM57" s="117"/>
      <c r="BN57" s="117"/>
      <c r="BO57" s="116">
        <v>14.496430180696565</v>
      </c>
      <c r="BP57" s="119">
        <v>1.4066849060490672</v>
      </c>
      <c r="BQ57" s="119">
        <v>1.0685902102129774</v>
      </c>
      <c r="BR57" s="115" t="s">
        <v>1325</v>
      </c>
      <c r="BS57" s="114"/>
      <c r="BT57" s="120">
        <v>42.093002319335994</v>
      </c>
      <c r="BU57" s="121">
        <v>0.74634220198016699</v>
      </c>
      <c r="BV57" s="114"/>
      <c r="BW57" s="114" t="s">
        <v>50</v>
      </c>
    </row>
    <row r="58" spans="38:75">
      <c r="AL58" s="122" t="s">
        <v>51</v>
      </c>
      <c r="AM58" s="123" t="s">
        <v>119</v>
      </c>
      <c r="AN58" s="123" t="s">
        <v>1276</v>
      </c>
      <c r="AO58" s="123" t="s">
        <v>1282</v>
      </c>
      <c r="AP58" s="124"/>
      <c r="AQ58" s="125">
        <v>676.69094652518606</v>
      </c>
      <c r="AR58" s="126">
        <v>157100</v>
      </c>
      <c r="AS58" s="125"/>
      <c r="AT58" s="125">
        <v>136.14981658368126</v>
      </c>
      <c r="AU58" s="125">
        <v>50.058563486413384</v>
      </c>
      <c r="AV58" s="125">
        <v>41.34106748210062</v>
      </c>
      <c r="AW58" s="125">
        <v>163.47355729053089</v>
      </c>
      <c r="AX58" s="125">
        <v>194.40773130499414</v>
      </c>
      <c r="AY58" s="125">
        <v>495.75712660450154</v>
      </c>
      <c r="AZ58" s="125">
        <v>397.1879741338426</v>
      </c>
      <c r="BA58" s="125">
        <v>128.53679709657055</v>
      </c>
      <c r="BB58" s="125">
        <v>328.70606326441464</v>
      </c>
      <c r="BC58" s="125">
        <v>318.83662851501174</v>
      </c>
      <c r="BD58" s="124"/>
      <c r="BE58" s="125">
        <v>310.47244786750366</v>
      </c>
      <c r="BF58" s="125">
        <v>19.701579059722583</v>
      </c>
      <c r="BG58" s="124">
        <v>0.3195611812281422</v>
      </c>
      <c r="BH58" s="125">
        <v>37.040484338842845</v>
      </c>
      <c r="BI58" s="125">
        <v>188.4387812795043</v>
      </c>
      <c r="BJ58" s="125">
        <v>201.80287302056624</v>
      </c>
      <c r="BK58" s="125">
        <v>319.37709799074355</v>
      </c>
      <c r="BL58" s="125">
        <v>286.09130649778319</v>
      </c>
      <c r="BM58" s="124"/>
      <c r="BN58" s="124"/>
      <c r="BO58" s="125">
        <v>674.31541156077787</v>
      </c>
      <c r="BP58" s="125">
        <v>232.38604134023095</v>
      </c>
      <c r="BQ58" s="1395">
        <v>6.4350540038714099E-2</v>
      </c>
      <c r="BR58" s="123" t="s">
        <v>1325</v>
      </c>
      <c r="BS58" s="127"/>
      <c r="BT58" s="128">
        <v>20.366998672485401</v>
      </c>
      <c r="BU58" s="129">
        <v>0.55199586510472787</v>
      </c>
      <c r="BV58" s="127"/>
      <c r="BW58" s="130" t="s">
        <v>52</v>
      </c>
    </row>
    <row r="59" spans="38:75">
      <c r="AL59" s="151" t="s">
        <v>82</v>
      </c>
      <c r="AM59" s="152" t="s">
        <v>130</v>
      </c>
      <c r="AN59" s="153" t="s">
        <v>1277</v>
      </c>
      <c r="AO59" s="153" t="s">
        <v>1283</v>
      </c>
      <c r="AP59" s="154"/>
      <c r="AQ59" s="155">
        <v>567.37759100139158</v>
      </c>
      <c r="AR59" s="156">
        <v>157100</v>
      </c>
      <c r="AS59" s="155"/>
      <c r="AT59" s="155">
        <v>133.21043530679819</v>
      </c>
      <c r="AU59" s="155">
        <v>42.488721827047392</v>
      </c>
      <c r="AV59" s="155">
        <v>30.0838640745622</v>
      </c>
      <c r="AW59" s="155">
        <v>158.97618927911603</v>
      </c>
      <c r="AX59" s="155">
        <v>208.93489400720514</v>
      </c>
      <c r="AY59" s="155">
        <v>374.36467262186545</v>
      </c>
      <c r="AZ59" s="155">
        <v>279.63051350012285</v>
      </c>
      <c r="BA59" s="155">
        <v>124.70164819733355</v>
      </c>
      <c r="BB59" s="155">
        <v>342.88451742630986</v>
      </c>
      <c r="BC59" s="155">
        <v>342.50381971047995</v>
      </c>
      <c r="BD59" s="154"/>
      <c r="BE59" s="155">
        <v>306.06943505433924</v>
      </c>
      <c r="BF59" s="155">
        <v>27.092591090091293</v>
      </c>
      <c r="BG59" s="154">
        <v>0.43613068276733274</v>
      </c>
      <c r="BH59" s="155">
        <v>41.219571186526522</v>
      </c>
      <c r="BI59" s="155">
        <v>176.56101788992692</v>
      </c>
      <c r="BJ59" s="155">
        <v>193.51017119475756</v>
      </c>
      <c r="BK59" s="155">
        <v>338.26054952665561</v>
      </c>
      <c r="BL59" s="155">
        <v>18.292668050186396</v>
      </c>
      <c r="BM59" s="154"/>
      <c r="BN59" s="154"/>
      <c r="BO59" s="155">
        <v>310.57729705710699</v>
      </c>
      <c r="BP59" s="155">
        <v>248.80430042600941</v>
      </c>
      <c r="BQ59" s="210">
        <v>6.4206482906761314E-2</v>
      </c>
      <c r="BR59" s="153" t="s">
        <v>131</v>
      </c>
      <c r="BS59" s="157"/>
      <c r="BT59" s="158">
        <v>42.09300041198729</v>
      </c>
      <c r="BU59" s="159">
        <v>0.3068353101100823</v>
      </c>
      <c r="BV59" s="157"/>
      <c r="BW59" s="160" t="s">
        <v>83</v>
      </c>
    </row>
    <row r="60" spans="38:75">
      <c r="AL60" s="161" t="s">
        <v>84</v>
      </c>
      <c r="AM60" s="162" t="s">
        <v>1274</v>
      </c>
      <c r="AN60" s="163" t="s">
        <v>1278</v>
      </c>
      <c r="AO60" s="163" t="s">
        <v>1284</v>
      </c>
      <c r="AP60" s="164"/>
      <c r="AQ60" s="165">
        <v>597.66871604038693</v>
      </c>
      <c r="AR60" s="166">
        <v>157100</v>
      </c>
      <c r="AS60" s="165"/>
      <c r="AT60" s="165">
        <v>139.08635278607838</v>
      </c>
      <c r="AU60" s="165">
        <v>44.685355735783979</v>
      </c>
      <c r="AV60" s="165">
        <v>33.22756183691299</v>
      </c>
      <c r="AW60" s="165">
        <v>158.17574009551473</v>
      </c>
      <c r="AX60" s="165">
        <v>199.7107514923153</v>
      </c>
      <c r="AY60" s="165">
        <v>467.36374911573353</v>
      </c>
      <c r="AZ60" s="165">
        <v>338.07892877711731</v>
      </c>
      <c r="BA60" s="165">
        <v>117.20942974763869</v>
      </c>
      <c r="BB60" s="165">
        <v>297.27071958068086</v>
      </c>
      <c r="BC60" s="165">
        <v>295.35260257703158</v>
      </c>
      <c r="BD60" s="164"/>
      <c r="BE60" s="165">
        <v>291.41061380098239</v>
      </c>
      <c r="BF60" s="165">
        <v>25.356652886981532</v>
      </c>
      <c r="BG60" s="164">
        <v>0.36024079434635753</v>
      </c>
      <c r="BH60" s="165">
        <v>36.098956583010484</v>
      </c>
      <c r="BI60" s="165">
        <v>160.06548399585091</v>
      </c>
      <c r="BJ60" s="165">
        <v>180.20594262945701</v>
      </c>
      <c r="BK60" s="165">
        <v>311.06730249758488</v>
      </c>
      <c r="BL60" s="165">
        <v>170.67011522416033</v>
      </c>
      <c r="BM60" s="164"/>
      <c r="BN60" s="164"/>
      <c r="BO60" s="165">
        <v>637.18795016329886</v>
      </c>
      <c r="BP60" s="165">
        <v>221.85428248151896</v>
      </c>
      <c r="BQ60" s="163" t="s">
        <v>117</v>
      </c>
      <c r="BR60" s="163" t="s">
        <v>120</v>
      </c>
      <c r="BS60" s="167"/>
      <c r="BT60" s="168">
        <v>41.4140014648438</v>
      </c>
      <c r="BU60" s="169">
        <v>0.28004922069123939</v>
      </c>
      <c r="BV60" s="167"/>
      <c r="BW60" s="170" t="s">
        <v>85</v>
      </c>
    </row>
    <row r="61" spans="38:75">
      <c r="AL61" s="249" t="s">
        <v>151</v>
      </c>
      <c r="AM61" s="250" t="s">
        <v>186</v>
      </c>
      <c r="AN61" s="250" t="s">
        <v>1279</v>
      </c>
      <c r="AO61" s="250" t="s">
        <v>1285</v>
      </c>
      <c r="AP61" s="251"/>
      <c r="AQ61" s="252">
        <v>554.40123251334808</v>
      </c>
      <c r="AR61" s="253">
        <v>157100</v>
      </c>
      <c r="AS61" s="252"/>
      <c r="AT61" s="252">
        <v>129.93942789314826</v>
      </c>
      <c r="AU61" s="252">
        <v>41.158307772692794</v>
      </c>
      <c r="AV61" s="250" t="s">
        <v>1296</v>
      </c>
      <c r="AW61" s="252">
        <v>142.46483001142613</v>
      </c>
      <c r="AX61" s="252">
        <v>177.10804965946238</v>
      </c>
      <c r="AY61" s="252">
        <v>315.19305503938995</v>
      </c>
      <c r="AZ61" s="252">
        <v>264.74384442309065</v>
      </c>
      <c r="BA61" s="252">
        <v>113.61731604381038</v>
      </c>
      <c r="BB61" s="252">
        <v>321.60676260728076</v>
      </c>
      <c r="BC61" s="252">
        <v>320.52248003194887</v>
      </c>
      <c r="BD61" s="251"/>
      <c r="BE61" s="252">
        <v>250.22538953567053</v>
      </c>
      <c r="BF61" s="252">
        <v>28.228125385108761</v>
      </c>
      <c r="BG61" s="250" t="s">
        <v>1315</v>
      </c>
      <c r="BH61" s="252">
        <v>33.947932217490468</v>
      </c>
      <c r="BI61" s="252">
        <v>149.8812512734392</v>
      </c>
      <c r="BJ61" s="252">
        <v>179.78281624846196</v>
      </c>
      <c r="BK61" s="252">
        <v>325.15191027082977</v>
      </c>
      <c r="BL61" s="252">
        <v>14.771229231504726</v>
      </c>
      <c r="BM61" s="251"/>
      <c r="BN61" s="251"/>
      <c r="BO61" s="252">
        <v>169.67201893299284</v>
      </c>
      <c r="BP61" s="252">
        <v>228.81221108543366</v>
      </c>
      <c r="BQ61" s="250" t="s">
        <v>187</v>
      </c>
      <c r="BR61" s="250" t="s">
        <v>1270</v>
      </c>
      <c r="BS61" s="254"/>
      <c r="BT61" s="255">
        <v>42.093002319335994</v>
      </c>
      <c r="BU61" s="256">
        <v>0.19774033821292197</v>
      </c>
      <c r="BV61" s="254"/>
      <c r="BW61" s="254" t="s">
        <v>152</v>
      </c>
    </row>
    <row r="62" spans="38:75">
      <c r="AL62" s="249" t="s">
        <v>153</v>
      </c>
      <c r="AM62" s="250" t="s">
        <v>1275</v>
      </c>
      <c r="AN62" s="250" t="s">
        <v>1280</v>
      </c>
      <c r="AO62" s="250" t="s">
        <v>1286</v>
      </c>
      <c r="AP62" s="251"/>
      <c r="AQ62" s="252">
        <v>558.50231971573771</v>
      </c>
      <c r="AR62" s="253">
        <v>157100</v>
      </c>
      <c r="AS62" s="252"/>
      <c r="AT62" s="252">
        <v>128.88522830778624</v>
      </c>
      <c r="AU62" s="252">
        <v>40.520386271802849</v>
      </c>
      <c r="AV62" s="252">
        <v>31.822294859440689</v>
      </c>
      <c r="AW62" s="252">
        <v>144.09975210360378</v>
      </c>
      <c r="AX62" s="252">
        <v>186.83049329983297</v>
      </c>
      <c r="AY62" s="252">
        <v>371.89047702003694</v>
      </c>
      <c r="AZ62" s="252">
        <v>306.75611175334706</v>
      </c>
      <c r="BA62" s="252">
        <v>104.20232836863309</v>
      </c>
      <c r="BB62" s="252">
        <v>285.62177624759846</v>
      </c>
      <c r="BC62" s="252">
        <v>275.07105273605077</v>
      </c>
      <c r="BD62" s="251"/>
      <c r="BE62" s="252">
        <v>253.47111459565775</v>
      </c>
      <c r="BF62" s="252">
        <v>27.190051165503476</v>
      </c>
      <c r="BG62" s="250" t="s">
        <v>188</v>
      </c>
      <c r="BH62" s="252">
        <v>31.35558370672695</v>
      </c>
      <c r="BI62" s="252">
        <v>159.27426286562573</v>
      </c>
      <c r="BJ62" s="252">
        <v>159.08628304336432</v>
      </c>
      <c r="BK62" s="252">
        <v>292.69508768949049</v>
      </c>
      <c r="BL62" s="252">
        <v>61.568719150710848</v>
      </c>
      <c r="BM62" s="251"/>
      <c r="BN62" s="251"/>
      <c r="BO62" s="252">
        <v>307.56893866678092</v>
      </c>
      <c r="BP62" s="252">
        <v>202.80567134801927</v>
      </c>
      <c r="BQ62" s="250" t="s">
        <v>1324</v>
      </c>
      <c r="BR62" s="250" t="s">
        <v>108</v>
      </c>
      <c r="BS62" s="254"/>
      <c r="BT62" s="255">
        <v>44.130001068115192</v>
      </c>
      <c r="BU62" s="256">
        <v>0.23873910639379181</v>
      </c>
      <c r="BV62" s="254"/>
      <c r="BW62" s="254" t="s">
        <v>154</v>
      </c>
    </row>
    <row r="63" spans="38:75">
      <c r="AL63" s="249" t="s">
        <v>173</v>
      </c>
      <c r="AM63" s="266" t="s">
        <v>1326</v>
      </c>
      <c r="AN63" s="267" t="s">
        <v>1281</v>
      </c>
      <c r="AO63" s="267" t="s">
        <v>1287</v>
      </c>
      <c r="AP63" s="252"/>
      <c r="AQ63" s="252">
        <v>580.18097015075728</v>
      </c>
      <c r="AR63" s="253">
        <v>157100</v>
      </c>
      <c r="AS63" s="252"/>
      <c r="AT63" s="252">
        <v>141.16410832663271</v>
      </c>
      <c r="AU63" s="252">
        <v>46.250308127516952</v>
      </c>
      <c r="AV63" s="252">
        <v>27.46834956519352</v>
      </c>
      <c r="AW63" s="252">
        <v>161.59729473236897</v>
      </c>
      <c r="AX63" s="252">
        <v>196.71162451685561</v>
      </c>
      <c r="AY63" s="252">
        <v>2485.976560747672</v>
      </c>
      <c r="AZ63" s="252">
        <v>2205.056262020757</v>
      </c>
      <c r="BA63" s="252">
        <v>111.58799531308931</v>
      </c>
      <c r="BB63" s="252">
        <v>306.40450049409293</v>
      </c>
      <c r="BC63" s="252">
        <v>314.69104211809616</v>
      </c>
      <c r="BD63" s="251"/>
      <c r="BE63" s="252">
        <v>275.33784393222328</v>
      </c>
      <c r="BF63" s="252">
        <v>32.812729458167809</v>
      </c>
      <c r="BG63" s="250" t="s">
        <v>119</v>
      </c>
      <c r="BH63" s="252">
        <v>35.84749666644516</v>
      </c>
      <c r="BI63" s="252">
        <v>176.08148485755478</v>
      </c>
      <c r="BJ63" s="252">
        <v>178.5965587202424</v>
      </c>
      <c r="BK63" s="252">
        <v>299.86877627571437</v>
      </c>
      <c r="BL63" s="252">
        <v>55.71252734261374</v>
      </c>
      <c r="BM63" s="251"/>
      <c r="BN63" s="251"/>
      <c r="BO63" s="252">
        <v>321.32892370954744</v>
      </c>
      <c r="BP63" s="252">
        <v>203.76328322934305</v>
      </c>
      <c r="BQ63" s="250" t="s">
        <v>190</v>
      </c>
      <c r="BR63" s="250" t="s">
        <v>191</v>
      </c>
      <c r="BS63" s="254"/>
      <c r="BT63" s="255">
        <v>38.019001007080092</v>
      </c>
      <c r="BU63" s="256">
        <v>0.25280604704777004</v>
      </c>
      <c r="BV63" s="254"/>
      <c r="BW63" s="254" t="s">
        <v>174</v>
      </c>
    </row>
    <row r="64" spans="38:75">
      <c r="AL64" s="703" t="s">
        <v>53</v>
      </c>
      <c r="AM64" s="683">
        <v>47.402394765780244</v>
      </c>
      <c r="AN64" s="683">
        <v>117.86495768747635</v>
      </c>
      <c r="AO64" s="683">
        <v>879.77404409035387</v>
      </c>
      <c r="AP64" s="683"/>
      <c r="AQ64" s="683">
        <v>36.876139403562739</v>
      </c>
      <c r="AR64" s="684">
        <v>6100</v>
      </c>
      <c r="AS64" s="683"/>
      <c r="AT64" s="683">
        <v>176.48990424185581</v>
      </c>
      <c r="AU64" s="683">
        <v>278.88824011091413</v>
      </c>
      <c r="AV64" s="683">
        <v>204.48646864879257</v>
      </c>
      <c r="AW64" s="685">
        <v>0.17487943143779505</v>
      </c>
      <c r="AX64" s="687" t="s">
        <v>120</v>
      </c>
      <c r="AY64" s="683">
        <v>22.052691675285914</v>
      </c>
      <c r="AZ64" s="687" t="s">
        <v>121</v>
      </c>
      <c r="BA64" s="687" t="s">
        <v>122</v>
      </c>
      <c r="BB64" s="683">
        <v>160.85069841507149</v>
      </c>
      <c r="BC64" s="683">
        <v>175.09719012577935</v>
      </c>
      <c r="BD64" s="685"/>
      <c r="BE64" s="685">
        <v>5.6862128699217807E-2</v>
      </c>
      <c r="BF64" s="685">
        <v>1.3136366160276552E-2</v>
      </c>
      <c r="BG64" s="686">
        <v>4.2164640731786331</v>
      </c>
      <c r="BH64" s="687" t="s">
        <v>123</v>
      </c>
      <c r="BI64" s="685">
        <v>0.44143512925127293</v>
      </c>
      <c r="BJ64" s="685">
        <v>0.22336707801083505</v>
      </c>
      <c r="BK64" s="686">
        <v>1.2813735675789011</v>
      </c>
      <c r="BL64" s="687" t="s">
        <v>59</v>
      </c>
      <c r="BM64" s="685"/>
      <c r="BN64" s="685"/>
      <c r="BO64" s="687" t="s">
        <v>124</v>
      </c>
      <c r="BP64" s="685">
        <v>0.63909335068309203</v>
      </c>
      <c r="BQ64" s="685">
        <v>0.24935856016349381</v>
      </c>
      <c r="BR64" s="685">
        <v>0.27899288407157535</v>
      </c>
      <c r="BS64" s="688"/>
      <c r="BT64" s="689">
        <v>10.183000564575202</v>
      </c>
      <c r="BU64" s="690">
        <v>2.5178844820331685</v>
      </c>
      <c r="BV64" s="688"/>
      <c r="BW64" s="704" t="s">
        <v>60</v>
      </c>
    </row>
    <row r="65" spans="38:75">
      <c r="AL65" s="703" t="s">
        <v>61</v>
      </c>
      <c r="AM65" s="683">
        <v>12.988985099187268</v>
      </c>
      <c r="AN65" s="683">
        <v>33.494536347688658</v>
      </c>
      <c r="AO65" s="683">
        <v>241.44897150577634</v>
      </c>
      <c r="AP65" s="683"/>
      <c r="AQ65" s="683">
        <v>27.283400676475924</v>
      </c>
      <c r="AR65" s="684">
        <v>6100</v>
      </c>
      <c r="AS65" s="683"/>
      <c r="AT65" s="683">
        <v>51.198744914603523</v>
      </c>
      <c r="AU65" s="683">
        <v>79.940276459320316</v>
      </c>
      <c r="AV65" s="683">
        <v>65.82749991316831</v>
      </c>
      <c r="AW65" s="686">
        <v>4.4319684576943432</v>
      </c>
      <c r="AX65" s="686">
        <v>5.4488687378886755</v>
      </c>
      <c r="AY65" s="683">
        <v>14.790099185359024</v>
      </c>
      <c r="AZ65" s="686">
        <v>8.3136278437125437</v>
      </c>
      <c r="BA65" s="686">
        <v>3.4833898533075782</v>
      </c>
      <c r="BB65" s="683">
        <v>53.975660700463095</v>
      </c>
      <c r="BC65" s="683">
        <v>56.248754681457527</v>
      </c>
      <c r="BD65" s="685"/>
      <c r="BE65" s="686">
        <v>7.4043712060395164</v>
      </c>
      <c r="BF65" s="685">
        <v>0.59211487924725148</v>
      </c>
      <c r="BG65" s="686">
        <v>1.2974658738731186</v>
      </c>
      <c r="BH65" s="686">
        <v>1.0802312197841801</v>
      </c>
      <c r="BI65" s="686">
        <v>5.0019282546813004</v>
      </c>
      <c r="BJ65" s="686">
        <v>5.2228756010400552</v>
      </c>
      <c r="BK65" s="686">
        <v>8.4753499162822745</v>
      </c>
      <c r="BL65" s="685">
        <v>0.42766317390196967</v>
      </c>
      <c r="BM65" s="685"/>
      <c r="BN65" s="685"/>
      <c r="BO65" s="686">
        <v>3.2293631813592354</v>
      </c>
      <c r="BP65" s="686">
        <v>6.6945765829427826</v>
      </c>
      <c r="BQ65" s="685">
        <v>0.12879310212581727</v>
      </c>
      <c r="BR65" s="685">
        <v>0.26480727690769396</v>
      </c>
      <c r="BS65" s="688"/>
      <c r="BT65" s="689">
        <v>40.735002517700195</v>
      </c>
      <c r="BU65" s="690">
        <v>2.14888461021037</v>
      </c>
      <c r="BV65" s="688"/>
      <c r="BW65" s="704" t="s">
        <v>62</v>
      </c>
    </row>
    <row r="66" spans="38:75">
      <c r="AL66" s="703" t="s">
        <v>63</v>
      </c>
      <c r="AM66" s="683">
        <v>43.57919549793727</v>
      </c>
      <c r="AN66" s="683">
        <v>101.10513580725862</v>
      </c>
      <c r="AO66" s="683">
        <v>901.10031290151574</v>
      </c>
      <c r="AP66" s="683"/>
      <c r="AQ66" s="691" t="s">
        <v>1290</v>
      </c>
      <c r="AR66" s="684">
        <v>6100</v>
      </c>
      <c r="AS66" s="683"/>
      <c r="AT66" s="683">
        <v>181.37003213746667</v>
      </c>
      <c r="AU66" s="683">
        <v>308.04650767258289</v>
      </c>
      <c r="AV66" s="683">
        <v>187.6833035707713</v>
      </c>
      <c r="AW66" s="687" t="s">
        <v>125</v>
      </c>
      <c r="AX66" s="687" t="s">
        <v>79</v>
      </c>
      <c r="AY66" s="683">
        <v>20.505632971143555</v>
      </c>
      <c r="AZ66" s="687" t="s">
        <v>1300</v>
      </c>
      <c r="BA66" s="687">
        <v>1.08</v>
      </c>
      <c r="BB66" s="683">
        <v>166.21694605122482</v>
      </c>
      <c r="BC66" s="683">
        <v>171.22473835268397</v>
      </c>
      <c r="BD66" s="685"/>
      <c r="BE66" s="687" t="s">
        <v>57</v>
      </c>
      <c r="BF66" s="685">
        <v>2.9564838879893258E-2</v>
      </c>
      <c r="BG66" s="686">
        <v>6.7428397574062213</v>
      </c>
      <c r="BH66" s="687" t="s">
        <v>58</v>
      </c>
      <c r="BI66" s="687" t="s">
        <v>126</v>
      </c>
      <c r="BJ66" s="687" t="s">
        <v>127</v>
      </c>
      <c r="BK66" s="686">
        <v>1.1909821789217601</v>
      </c>
      <c r="BL66" s="683"/>
      <c r="BM66" s="685"/>
      <c r="BN66" s="685"/>
      <c r="BO66" s="687" t="s">
        <v>120</v>
      </c>
      <c r="BP66" s="685">
        <v>0.55860162484959597</v>
      </c>
      <c r="BQ66" s="685">
        <v>0.75094305743463396</v>
      </c>
      <c r="BR66" s="685">
        <v>0.94637610452747667</v>
      </c>
      <c r="BS66" s="688"/>
      <c r="BT66" s="689">
        <v>19.6879997253418</v>
      </c>
      <c r="BU66" s="690">
        <v>0.72663391337143268</v>
      </c>
      <c r="BV66" s="688"/>
      <c r="BW66" s="704" t="s">
        <v>67</v>
      </c>
    </row>
    <row r="67" spans="38:75">
      <c r="AL67" s="703" t="s">
        <v>68</v>
      </c>
      <c r="AM67" s="683">
        <v>89.174965158991185</v>
      </c>
      <c r="AN67" s="683">
        <v>272.97628661120939</v>
      </c>
      <c r="AO67" s="683">
        <v>932.2820109315935</v>
      </c>
      <c r="AP67" s="683"/>
      <c r="AQ67" s="691" t="s">
        <v>1291</v>
      </c>
      <c r="AR67" s="684">
        <v>6100</v>
      </c>
      <c r="AS67" s="683"/>
      <c r="AT67" s="683">
        <v>159.27968473664043</v>
      </c>
      <c r="AU67" s="683">
        <v>271.92357475481117</v>
      </c>
      <c r="AV67" s="683">
        <v>181.92311743605492</v>
      </c>
      <c r="AW67" s="686">
        <v>2.6148918981193674</v>
      </c>
      <c r="AX67" s="686">
        <v>3.6090842618538659</v>
      </c>
      <c r="AY67" s="683">
        <v>18.625530297023648</v>
      </c>
      <c r="AZ67" s="687" t="s">
        <v>1301</v>
      </c>
      <c r="BA67" s="687">
        <v>1.4</v>
      </c>
      <c r="BB67" s="683">
        <v>170.3356366044269</v>
      </c>
      <c r="BC67" s="683">
        <v>171.11926725606847</v>
      </c>
      <c r="BD67" s="685"/>
      <c r="BE67" s="685">
        <v>6.1892818057377279E-2</v>
      </c>
      <c r="BF67" s="685">
        <v>7.1764617968184327E-2</v>
      </c>
      <c r="BG67" s="686">
        <v>5.8274349556374929</v>
      </c>
      <c r="BH67" s="685">
        <v>8.3761152190932595E-2</v>
      </c>
      <c r="BI67" s="686">
        <v>1.93370220436281</v>
      </c>
      <c r="BJ67" s="686">
        <v>1.5495351532780033</v>
      </c>
      <c r="BK67" s="686">
        <v>2.9297966062970597</v>
      </c>
      <c r="BL67" s="683"/>
      <c r="BM67" s="685"/>
      <c r="BN67" s="685"/>
      <c r="BO67" s="685">
        <v>1.8783142935502199E-2</v>
      </c>
      <c r="BP67" s="685">
        <v>0.87733014879260307</v>
      </c>
      <c r="BQ67" s="686">
        <v>2.1621968978946216</v>
      </c>
      <c r="BR67" s="686">
        <v>2.3282787348555369</v>
      </c>
      <c r="BS67" s="688"/>
      <c r="BT67" s="689">
        <v>21.045997619628903</v>
      </c>
      <c r="BU67" s="690">
        <v>0.69252857846099536</v>
      </c>
      <c r="BV67" s="688"/>
      <c r="BW67" s="704" t="s">
        <v>70</v>
      </c>
    </row>
    <row r="68" spans="38:75">
      <c r="AL68" s="703" t="s">
        <v>71</v>
      </c>
      <c r="AM68" s="683">
        <v>53.851935970818268</v>
      </c>
      <c r="AN68" s="683">
        <v>153.11143959257109</v>
      </c>
      <c r="AO68" s="683">
        <v>956.83084183527387</v>
      </c>
      <c r="AP68" s="683"/>
      <c r="AQ68" s="691" t="s">
        <v>1292</v>
      </c>
      <c r="AR68" s="684">
        <v>6100</v>
      </c>
      <c r="AS68" s="683"/>
      <c r="AT68" s="683">
        <v>176.54774296241777</v>
      </c>
      <c r="AU68" s="683">
        <v>302.63617179868515</v>
      </c>
      <c r="AV68" s="683">
        <v>253.21728805394858</v>
      </c>
      <c r="AW68" s="687" t="s">
        <v>128</v>
      </c>
      <c r="AX68" s="687" t="s">
        <v>1298</v>
      </c>
      <c r="AY68" s="683">
        <v>26.586114531765418</v>
      </c>
      <c r="AZ68" s="687" t="s">
        <v>1302</v>
      </c>
      <c r="BA68" s="687">
        <v>1.17</v>
      </c>
      <c r="BB68" s="683">
        <v>196.61767851134951</v>
      </c>
      <c r="BC68" s="683">
        <v>190.28503946638091</v>
      </c>
      <c r="BD68" s="685"/>
      <c r="BE68" s="685">
        <v>3.8793114202246702E-2</v>
      </c>
      <c r="BF68" s="685">
        <v>1.0088286738318675E-2</v>
      </c>
      <c r="BG68" s="686">
        <v>5.055220393020516</v>
      </c>
      <c r="BH68" s="687" t="s">
        <v>58</v>
      </c>
      <c r="BI68" s="687" t="s">
        <v>1317</v>
      </c>
      <c r="BJ68" s="685">
        <v>0.37752378093600197</v>
      </c>
      <c r="BK68" s="686">
        <v>1.8019316980558679</v>
      </c>
      <c r="BL68" s="685">
        <v>2.0574874022904224E-2</v>
      </c>
      <c r="BM68" s="685"/>
      <c r="BN68" s="685"/>
      <c r="BO68" s="685">
        <v>9.3150245934570039E-2</v>
      </c>
      <c r="BP68" s="685">
        <v>0.6265178716783345</v>
      </c>
      <c r="BQ68" s="686">
        <v>2.4395424043039511</v>
      </c>
      <c r="BR68" s="686">
        <v>1.2961329773261661</v>
      </c>
      <c r="BS68" s="688"/>
      <c r="BT68" s="689">
        <v>25.798999786377003</v>
      </c>
      <c r="BU68" s="690">
        <v>0.78750847273687596</v>
      </c>
      <c r="BV68" s="688"/>
      <c r="BW68" s="704" t="s">
        <v>75</v>
      </c>
    </row>
    <row r="69" spans="38:75">
      <c r="AL69" s="705" t="s">
        <v>155</v>
      </c>
      <c r="AM69" s="706">
        <v>37.617562999923337</v>
      </c>
      <c r="AN69" s="706">
        <v>93.488011713801257</v>
      </c>
      <c r="AO69" s="706">
        <v>710.71011144929878</v>
      </c>
      <c r="AP69" s="707"/>
      <c r="AQ69" s="708" t="s">
        <v>1293</v>
      </c>
      <c r="AR69" s="709">
        <v>6100</v>
      </c>
      <c r="AS69" s="706"/>
      <c r="AT69" s="706">
        <v>143.43912687614002</v>
      </c>
      <c r="AU69" s="706">
        <v>251.85719337465059</v>
      </c>
      <c r="AV69" s="706">
        <v>187.57564535364432</v>
      </c>
      <c r="AW69" s="710" t="s">
        <v>1273</v>
      </c>
      <c r="AX69" s="710" t="s">
        <v>127</v>
      </c>
      <c r="AY69" s="706">
        <v>16.352360572004304</v>
      </c>
      <c r="AZ69" s="710" t="s">
        <v>1303</v>
      </c>
      <c r="BA69" s="710">
        <v>1.51</v>
      </c>
      <c r="BB69" s="706">
        <v>140.76976380388257</v>
      </c>
      <c r="BC69" s="706">
        <v>123.02714590654776</v>
      </c>
      <c r="BD69" s="707"/>
      <c r="BE69" s="706"/>
      <c r="BF69" s="710" t="s">
        <v>49</v>
      </c>
      <c r="BG69" s="711">
        <v>4.2274874153199455</v>
      </c>
      <c r="BH69" s="710" t="s">
        <v>57</v>
      </c>
      <c r="BI69" s="710" t="s">
        <v>1318</v>
      </c>
      <c r="BJ69" s="710" t="s">
        <v>1319</v>
      </c>
      <c r="BK69" s="710" t="s">
        <v>183</v>
      </c>
      <c r="BL69" s="707">
        <v>3.6040005082245689E-2</v>
      </c>
      <c r="BM69" s="707"/>
      <c r="BN69" s="707"/>
      <c r="BO69" s="710" t="s">
        <v>160</v>
      </c>
      <c r="BP69" s="707">
        <v>0.31286280623023044</v>
      </c>
      <c r="BQ69" s="710" t="s">
        <v>126</v>
      </c>
      <c r="BR69" s="710" t="s">
        <v>156</v>
      </c>
      <c r="BS69" s="712"/>
      <c r="BT69" s="713">
        <v>7.4680004119872976</v>
      </c>
      <c r="BU69" s="714">
        <v>0.74821647849371076</v>
      </c>
      <c r="BV69" s="712"/>
      <c r="BW69" s="712" t="s">
        <v>162</v>
      </c>
    </row>
    <row r="70" spans="38:75">
      <c r="AL70" s="705" t="s">
        <v>163</v>
      </c>
      <c r="AM70" s="706">
        <v>175.37608633388285</v>
      </c>
      <c r="AN70" s="706">
        <v>578.54160155595696</v>
      </c>
      <c r="AO70" s="706">
        <v>915.29128520434188</v>
      </c>
      <c r="AP70" s="707"/>
      <c r="AQ70" s="708" t="s">
        <v>1294</v>
      </c>
      <c r="AR70" s="709">
        <v>6100</v>
      </c>
      <c r="AS70" s="706"/>
      <c r="AT70" s="706">
        <v>191.65650243956361</v>
      </c>
      <c r="AU70" s="706">
        <v>301.79934678996904</v>
      </c>
      <c r="AV70" s="706">
        <v>245.71262027313605</v>
      </c>
      <c r="AW70" s="706">
        <v>14.449521779474111</v>
      </c>
      <c r="AX70" s="706">
        <v>17.521413572316241</v>
      </c>
      <c r="AY70" s="706">
        <v>20.06996021060062</v>
      </c>
      <c r="AZ70" s="710" t="s">
        <v>1304</v>
      </c>
      <c r="BA70" s="710">
        <v>1.74</v>
      </c>
      <c r="BB70" s="706">
        <v>164.67490981159139</v>
      </c>
      <c r="BC70" s="706">
        <v>167.71956948113447</v>
      </c>
      <c r="BD70" s="707"/>
      <c r="BE70" s="707">
        <v>2.0514661006228712E-2</v>
      </c>
      <c r="BF70" s="707">
        <v>0.11787446062761973</v>
      </c>
      <c r="BG70" s="711">
        <v>6.8100810367961753</v>
      </c>
      <c r="BH70" s="707">
        <v>9.3395907385916771E-2</v>
      </c>
      <c r="BI70" s="711">
        <v>1.1848783888023431</v>
      </c>
      <c r="BJ70" s="711">
        <v>1.7054702150060099</v>
      </c>
      <c r="BK70" s="711">
        <v>1.1237711776117401</v>
      </c>
      <c r="BL70" s="707">
        <v>3.6466210810731911E-2</v>
      </c>
      <c r="BM70" s="707"/>
      <c r="BN70" s="707"/>
      <c r="BO70" s="706"/>
      <c r="BP70" s="707">
        <v>0.62107329718369264</v>
      </c>
      <c r="BQ70" s="711">
        <v>2.7176861078435133</v>
      </c>
      <c r="BR70" s="711">
        <v>2.8199483405687817</v>
      </c>
      <c r="BS70" s="712"/>
      <c r="BT70" s="713">
        <v>10.184000015258803</v>
      </c>
      <c r="BU70" s="714">
        <v>0.5587300146229871</v>
      </c>
      <c r="BV70" s="712"/>
      <c r="BW70" s="712" t="s">
        <v>165</v>
      </c>
    </row>
    <row r="71" spans="38:75">
      <c r="AL71" s="705" t="s">
        <v>169</v>
      </c>
      <c r="AM71" s="706">
        <v>18.400103601707244</v>
      </c>
      <c r="AN71" s="706">
        <v>49.019817386050306</v>
      </c>
      <c r="AO71" s="706">
        <v>41.604199184294529</v>
      </c>
      <c r="AP71" s="706"/>
      <c r="AQ71" s="706">
        <v>11.45586648447496</v>
      </c>
      <c r="AR71" s="709">
        <v>6100</v>
      </c>
      <c r="AS71" s="706"/>
      <c r="AT71" s="706">
        <v>79.017324919303263</v>
      </c>
      <c r="AU71" s="706">
        <v>31.861160445084344</v>
      </c>
      <c r="AV71" s="706">
        <v>22.839193796472468</v>
      </c>
      <c r="AW71" s="711">
        <v>1.2499280467867273</v>
      </c>
      <c r="AX71" s="711">
        <v>1.5174497303146666</v>
      </c>
      <c r="AY71" s="711">
        <v>1.7612493243691956</v>
      </c>
      <c r="AZ71" s="710" t="s">
        <v>1305</v>
      </c>
      <c r="BA71" s="711">
        <v>1.2197387763140528</v>
      </c>
      <c r="BB71" s="711">
        <v>8.5579198609412863</v>
      </c>
      <c r="BC71" s="711">
        <v>8.5259853282285274</v>
      </c>
      <c r="BD71" s="707"/>
      <c r="BE71" s="707">
        <v>0.24732018067098316</v>
      </c>
      <c r="BF71" s="707">
        <v>0.85554047537794431</v>
      </c>
      <c r="BG71" s="706">
        <v>11.664656256890474</v>
      </c>
      <c r="BH71" s="711">
        <v>1.0047911627666963</v>
      </c>
      <c r="BI71" s="706">
        <v>10.246412380029488</v>
      </c>
      <c r="BJ71" s="706">
        <v>10.944151579471709</v>
      </c>
      <c r="BK71" s="707">
        <v>0.35920476722232303</v>
      </c>
      <c r="BL71" s="710" t="s">
        <v>171</v>
      </c>
      <c r="BM71" s="707"/>
      <c r="BN71" s="707"/>
      <c r="BO71" s="707">
        <v>6.6531120749962841E-2</v>
      </c>
      <c r="BP71" s="711">
        <v>2.3948212494904295</v>
      </c>
      <c r="BQ71" s="711">
        <v>8.764585264772478</v>
      </c>
      <c r="BR71" s="706">
        <v>11.134439716488288</v>
      </c>
      <c r="BS71" s="712"/>
      <c r="BT71" s="713">
        <v>46.166002273559599</v>
      </c>
      <c r="BU71" s="714">
        <v>8.8028581147894496</v>
      </c>
      <c r="BV71" s="712"/>
      <c r="BW71" s="712" t="s">
        <v>172</v>
      </c>
    </row>
    <row r="72" spans="38:75">
      <c r="AL72" s="705" t="s">
        <v>175</v>
      </c>
      <c r="AM72" s="706">
        <v>53.666838532635019</v>
      </c>
      <c r="AN72" s="706">
        <v>170.3195990030261</v>
      </c>
      <c r="AO72" s="706">
        <v>697.32722754345525</v>
      </c>
      <c r="AP72" s="706"/>
      <c r="AQ72" s="708" t="s">
        <v>1295</v>
      </c>
      <c r="AR72" s="709">
        <v>6100</v>
      </c>
      <c r="AS72" s="706"/>
      <c r="AT72" s="706">
        <v>128.63326627405726</v>
      </c>
      <c r="AU72" s="706">
        <v>230.03671869091485</v>
      </c>
      <c r="AV72" s="706">
        <v>156.47214899530604</v>
      </c>
      <c r="AW72" s="711">
        <v>3.8606363015340026</v>
      </c>
      <c r="AX72" s="711">
        <v>4.153253433211253</v>
      </c>
      <c r="AY72" s="706">
        <v>13.905656615161281</v>
      </c>
      <c r="AZ72" s="710" t="s">
        <v>1306</v>
      </c>
      <c r="BA72" s="711">
        <v>1.380260346035721</v>
      </c>
      <c r="BB72" s="706">
        <v>129.16877472182688</v>
      </c>
      <c r="BC72" s="706">
        <v>124.93244820026305</v>
      </c>
      <c r="BD72" s="707"/>
      <c r="BE72" s="711">
        <v>1.0235126690681897</v>
      </c>
      <c r="BF72" s="707">
        <v>0.32547966749683221</v>
      </c>
      <c r="BG72" s="711">
        <v>4.4432057167485777</v>
      </c>
      <c r="BH72" s="707">
        <v>0.34488003333946154</v>
      </c>
      <c r="BI72" s="707">
        <v>2.8085075244767927</v>
      </c>
      <c r="BJ72" s="707">
        <v>2.4596941871600699</v>
      </c>
      <c r="BK72" s="711">
        <v>2.5682832568516543</v>
      </c>
      <c r="BL72" s="710" t="s">
        <v>59</v>
      </c>
      <c r="BM72" s="707"/>
      <c r="BN72" s="707"/>
      <c r="BO72" s="707">
        <v>0.39111181293594766</v>
      </c>
      <c r="BP72" s="711">
        <v>2.2688892030017831</v>
      </c>
      <c r="BQ72" s="711">
        <v>1.2460817211900157</v>
      </c>
      <c r="BR72" s="711">
        <v>1.6512590719127946</v>
      </c>
      <c r="BS72" s="712"/>
      <c r="BT72" s="713">
        <v>41.4140014648438</v>
      </c>
      <c r="BU72" s="714">
        <v>0.75049978079611523</v>
      </c>
      <c r="BV72" s="712"/>
      <c r="BW72" s="712" t="s">
        <v>176</v>
      </c>
    </row>
    <row r="73" spans="38:75">
      <c r="AL73" s="140" t="s">
        <v>76</v>
      </c>
      <c r="AM73" s="141">
        <v>10.179724100584894</v>
      </c>
      <c r="AN73" s="141">
        <v>20.536136287110082</v>
      </c>
      <c r="AO73" s="141">
        <v>289.9201392468205</v>
      </c>
      <c r="AP73" s="141"/>
      <c r="AQ73" s="141">
        <v>119.00440500601789</v>
      </c>
      <c r="AR73" s="142">
        <v>68900</v>
      </c>
      <c r="AS73" s="141"/>
      <c r="AT73" s="141">
        <v>972.07625193137028</v>
      </c>
      <c r="AU73" s="141">
        <v>292.34229156955405</v>
      </c>
      <c r="AV73" s="141">
        <v>213.24579325800997</v>
      </c>
      <c r="AW73" s="143">
        <v>2.8247022642930304</v>
      </c>
      <c r="AX73" s="143">
        <v>3.2757843323488198</v>
      </c>
      <c r="AY73" s="141">
        <v>23.610417610979773</v>
      </c>
      <c r="AZ73" s="144" t="s">
        <v>1307</v>
      </c>
      <c r="BA73" s="141">
        <v>13.866805902321079</v>
      </c>
      <c r="BB73" s="141">
        <v>86.634014943710909</v>
      </c>
      <c r="BC73" s="141">
        <v>87.504346747107235</v>
      </c>
      <c r="BD73" s="145"/>
      <c r="BE73" s="143">
        <v>3.1063833787662238</v>
      </c>
      <c r="BF73" s="143">
        <v>7.3933174234787202</v>
      </c>
      <c r="BG73" s="141">
        <v>314.68663368953577</v>
      </c>
      <c r="BH73" s="141">
        <v>11.59784565563182</v>
      </c>
      <c r="BI73" s="141">
        <v>131.75232261905356</v>
      </c>
      <c r="BJ73" s="141">
        <v>173.7991483513735</v>
      </c>
      <c r="BK73" s="143">
        <v>3.0058611533809154</v>
      </c>
      <c r="BL73" s="145">
        <v>8.5549632804746215E-2</v>
      </c>
      <c r="BM73" s="145"/>
      <c r="BN73" s="145"/>
      <c r="BO73" s="145">
        <v>0.80024425582888015</v>
      </c>
      <c r="BP73" s="141">
        <v>27.658239156305619</v>
      </c>
      <c r="BQ73" s="141">
        <v>238.13391585121605</v>
      </c>
      <c r="BR73" s="141">
        <v>309.41770474525418</v>
      </c>
      <c r="BS73" s="146"/>
      <c r="BT73" s="147">
        <v>39.376998901367195</v>
      </c>
      <c r="BU73" s="148">
        <v>1.2867561289969107</v>
      </c>
      <c r="BV73" s="146"/>
      <c r="BW73" s="149" t="s">
        <v>77</v>
      </c>
    </row>
    <row r="74" spans="38:75">
      <c r="AL74" s="140" t="s">
        <v>78</v>
      </c>
      <c r="AM74" s="141">
        <v>23.986799010386157</v>
      </c>
      <c r="AN74" s="141">
        <v>48.104444197896449</v>
      </c>
      <c r="AO74" s="141">
        <v>634.70885829208817</v>
      </c>
      <c r="AP74" s="141"/>
      <c r="AQ74" s="141">
        <v>114.72070834999055</v>
      </c>
      <c r="AR74" s="142">
        <v>68900</v>
      </c>
      <c r="AS74" s="141"/>
      <c r="AT74" s="141">
        <v>1650.5101665039917</v>
      </c>
      <c r="AU74" s="141">
        <v>724.26154161480656</v>
      </c>
      <c r="AV74" s="141">
        <v>486.75505279342042</v>
      </c>
      <c r="AW74" s="143">
        <v>1.3033111146586518</v>
      </c>
      <c r="AX74" s="144" t="s">
        <v>1299</v>
      </c>
      <c r="AY74" s="141">
        <v>35.139785493191759</v>
      </c>
      <c r="AZ74" s="144" t="s">
        <v>1308</v>
      </c>
      <c r="BA74" s="143">
        <v>3.9127456773283775</v>
      </c>
      <c r="BB74" s="141">
        <v>157.26061369905534</v>
      </c>
      <c r="BC74" s="141">
        <v>154.64826798106921</v>
      </c>
      <c r="BD74" s="145"/>
      <c r="BE74" s="145">
        <v>0.15474364702890003</v>
      </c>
      <c r="BF74" s="143">
        <v>4.9955911225046474</v>
      </c>
      <c r="BG74" s="141">
        <v>369.84599429253922</v>
      </c>
      <c r="BH74" s="143">
        <v>7.2868908064802813</v>
      </c>
      <c r="BI74" s="141">
        <v>115.86359870020665</v>
      </c>
      <c r="BJ74" s="141">
        <v>140.27903403298114</v>
      </c>
      <c r="BK74" s="143">
        <v>3.7851717677806085</v>
      </c>
      <c r="BL74" s="150">
        <v>7.5491872886842932E-3</v>
      </c>
      <c r="BM74" s="145"/>
      <c r="BN74" s="145"/>
      <c r="BO74" s="145">
        <v>8.6612094507971249E-3</v>
      </c>
      <c r="BP74" s="143">
        <v>7.8836234742206495</v>
      </c>
      <c r="BQ74" s="141">
        <v>293.58972232980977</v>
      </c>
      <c r="BR74" s="141">
        <v>379.45403054684959</v>
      </c>
      <c r="BS74" s="146"/>
      <c r="BT74" s="147">
        <v>43.451002120971694</v>
      </c>
      <c r="BU74" s="148">
        <v>1.5686577634826899</v>
      </c>
      <c r="BV74" s="146"/>
      <c r="BW74" s="149" t="s">
        <v>77</v>
      </c>
    </row>
    <row r="75" spans="38:75">
      <c r="AL75" s="140" t="s">
        <v>80</v>
      </c>
      <c r="AM75" s="141">
        <v>14.330573842282664</v>
      </c>
      <c r="AN75" s="141">
        <v>30.158367754330932</v>
      </c>
      <c r="AO75" s="141">
        <v>348.1720213299331</v>
      </c>
      <c r="AP75" s="145"/>
      <c r="AQ75" s="141">
        <v>93.718557007009551</v>
      </c>
      <c r="AR75" s="142">
        <v>68900</v>
      </c>
      <c r="AS75" s="141"/>
      <c r="AT75" s="141">
        <v>1418.3766104339893</v>
      </c>
      <c r="AU75" s="141">
        <v>380.78673817622177</v>
      </c>
      <c r="AV75" s="141">
        <v>262.1027368918397</v>
      </c>
      <c r="AW75" s="143">
        <v>1.1354344748524354</v>
      </c>
      <c r="AX75" s="143">
        <v>1.0196866013885346</v>
      </c>
      <c r="AY75" s="141">
        <v>22.780691458170061</v>
      </c>
      <c r="AZ75" s="144" t="s">
        <v>1309</v>
      </c>
      <c r="BA75" s="143">
        <v>5.9064731055273967</v>
      </c>
      <c r="BB75" s="141">
        <v>102.78072552387978</v>
      </c>
      <c r="BC75" s="141">
        <v>106.23432757202019</v>
      </c>
      <c r="BD75" s="145"/>
      <c r="BE75" s="145">
        <v>0.90269259032635041</v>
      </c>
      <c r="BF75" s="143">
        <v>5.4261299059778265</v>
      </c>
      <c r="BG75" s="141">
        <v>444.23164116744852</v>
      </c>
      <c r="BH75" s="143">
        <v>8.1200499736547211</v>
      </c>
      <c r="BI75" s="141">
        <v>130.98143251342202</v>
      </c>
      <c r="BJ75" s="141">
        <v>171.3457919666796</v>
      </c>
      <c r="BK75" s="143">
        <v>2.3286800345558194</v>
      </c>
      <c r="BL75" s="144" t="s">
        <v>57</v>
      </c>
      <c r="BM75" s="145"/>
      <c r="BN75" s="145"/>
      <c r="BO75" s="145">
        <v>0.23430337448607483</v>
      </c>
      <c r="BP75" s="141">
        <v>12.318129835335274</v>
      </c>
      <c r="BQ75" s="141">
        <v>299.39096824637875</v>
      </c>
      <c r="BR75" s="141">
        <v>384.3505196723508</v>
      </c>
      <c r="BS75" s="146"/>
      <c r="BT75" s="147">
        <v>44.130002975463896</v>
      </c>
      <c r="BU75" s="148">
        <v>1.4118410677501967</v>
      </c>
      <c r="BV75" s="146"/>
      <c r="BW75" s="149" t="s">
        <v>81</v>
      </c>
    </row>
    <row r="76" spans="38:75">
      <c r="AL76" s="257" t="s">
        <v>166</v>
      </c>
      <c r="AM76" s="258">
        <v>10.248729059226351</v>
      </c>
      <c r="AN76" s="258">
        <v>20.409266240612933</v>
      </c>
      <c r="AO76" s="258">
        <v>283.74225998872691</v>
      </c>
      <c r="AP76" s="258"/>
      <c r="AQ76" s="258">
        <v>112.98807646983596</v>
      </c>
      <c r="AR76" s="259">
        <v>68900</v>
      </c>
      <c r="AS76" s="258"/>
      <c r="AT76" s="258">
        <v>1047.6036273735856</v>
      </c>
      <c r="AU76" s="258">
        <v>301.9553399835188</v>
      </c>
      <c r="AV76" s="258">
        <v>210.07035889243267</v>
      </c>
      <c r="AW76" s="260">
        <v>2.4289099455747714</v>
      </c>
      <c r="AX76" s="260">
        <v>3.0069480395710193</v>
      </c>
      <c r="AY76" s="258">
        <v>14.750329843734004</v>
      </c>
      <c r="AZ76" s="261" t="s">
        <v>1310</v>
      </c>
      <c r="BA76" s="258">
        <v>10.785685249547205</v>
      </c>
      <c r="BB76" s="258">
        <v>78.249173889869368</v>
      </c>
      <c r="BC76" s="258">
        <v>78.299209546391779</v>
      </c>
      <c r="BD76" s="262"/>
      <c r="BE76" s="260">
        <v>1.9287747484443076</v>
      </c>
      <c r="BF76" s="260">
        <v>8.4765065230432466</v>
      </c>
      <c r="BG76" s="258">
        <v>286.55292099920712</v>
      </c>
      <c r="BH76" s="260">
        <v>9.2336629918301263</v>
      </c>
      <c r="BI76" s="258">
        <v>121.36119789221382</v>
      </c>
      <c r="BJ76" s="258">
        <v>155.73620564070816</v>
      </c>
      <c r="BK76" s="260">
        <v>2.2266533550891934</v>
      </c>
      <c r="BL76" s="261" t="s">
        <v>49</v>
      </c>
      <c r="BM76" s="262"/>
      <c r="BN76" s="262"/>
      <c r="BO76" s="262">
        <v>0.36586810837937228</v>
      </c>
      <c r="BP76" s="258">
        <v>20.196019457751568</v>
      </c>
      <c r="BQ76" s="258">
        <v>219.93216457363656</v>
      </c>
      <c r="BR76" s="258">
        <v>275.65663287769377</v>
      </c>
      <c r="BS76" s="263"/>
      <c r="BT76" s="264">
        <v>39.376998901367195</v>
      </c>
      <c r="BU76" s="265">
        <v>0.86881564149892099</v>
      </c>
      <c r="BV76" s="263"/>
      <c r="BW76" s="263" t="s">
        <v>168</v>
      </c>
    </row>
    <row r="77" spans="38:75">
      <c r="AL77" s="104" t="s">
        <v>132</v>
      </c>
      <c r="AM77" s="105" t="s">
        <v>133</v>
      </c>
      <c r="AN77" s="106">
        <v>66.730752104146333</v>
      </c>
      <c r="AO77" s="107" t="s">
        <v>1288</v>
      </c>
      <c r="AP77" s="108"/>
      <c r="AQ77" s="106">
        <v>4595.570435381107</v>
      </c>
      <c r="AR77" s="109">
        <v>55500</v>
      </c>
      <c r="AS77" s="106"/>
      <c r="AT77" s="106">
        <v>170.58568285283857</v>
      </c>
      <c r="AU77" s="110" t="s">
        <v>1314</v>
      </c>
      <c r="AV77" s="105" t="s">
        <v>1297</v>
      </c>
      <c r="AW77" s="106">
        <v>52.156714172769931</v>
      </c>
      <c r="AX77" s="106">
        <v>62.896096806127659</v>
      </c>
      <c r="AY77" s="106">
        <v>214.22133778046719</v>
      </c>
      <c r="AZ77" s="106">
        <v>157.68198327683788</v>
      </c>
      <c r="BA77" s="111">
        <v>5.9345342221319637</v>
      </c>
      <c r="BB77" s="111">
        <v>7.8759661313786715</v>
      </c>
      <c r="BC77" s="111">
        <v>9.2703910556948106</v>
      </c>
      <c r="BD77" s="106"/>
      <c r="BE77" s="111">
        <v>2.3827459380143834</v>
      </c>
      <c r="BF77" s="108">
        <v>0.22537091636024403</v>
      </c>
      <c r="BG77" s="107">
        <v>0.18</v>
      </c>
      <c r="BH77" s="108">
        <v>0.30431876161787602</v>
      </c>
      <c r="BI77" s="107">
        <v>0.93</v>
      </c>
      <c r="BJ77" s="107">
        <v>0.3</v>
      </c>
      <c r="BK77" s="111">
        <v>3.6930953921964331</v>
      </c>
      <c r="BL77" s="111">
        <v>1.216943816736159</v>
      </c>
      <c r="BM77" s="108"/>
      <c r="BN77" s="108"/>
      <c r="BO77" s="106">
        <v>32.265966842318598</v>
      </c>
      <c r="BP77" s="108">
        <v>0.67439937781431503</v>
      </c>
      <c r="BQ77" s="107" t="s">
        <v>135</v>
      </c>
      <c r="BR77" s="107" t="s">
        <v>59</v>
      </c>
      <c r="BS77" s="104"/>
      <c r="BT77" s="112">
        <v>38.698001861572301</v>
      </c>
      <c r="BU77" s="113">
        <v>0.46107639603815842</v>
      </c>
      <c r="BV77" s="104"/>
      <c r="BW77" s="104" t="s">
        <v>87</v>
      </c>
    </row>
    <row r="78" spans="38:75" ht="17" thickBot="1">
      <c r="AL78" s="104" t="s">
        <v>136</v>
      </c>
      <c r="AM78" s="105" t="s">
        <v>137</v>
      </c>
      <c r="AN78" s="106">
        <v>70.283943843951604</v>
      </c>
      <c r="AO78" s="107" t="s">
        <v>1289</v>
      </c>
      <c r="AP78" s="108"/>
      <c r="AQ78" s="106">
        <v>4586.1224768874208</v>
      </c>
      <c r="AR78" s="109">
        <v>55500</v>
      </c>
      <c r="AS78" s="106"/>
      <c r="AT78" s="106">
        <v>159.24298379664208</v>
      </c>
      <c r="AU78" s="110" t="s">
        <v>138</v>
      </c>
      <c r="AV78" s="105" t="s">
        <v>1284</v>
      </c>
      <c r="AW78" s="106">
        <v>50.331185114829019</v>
      </c>
      <c r="AX78" s="106">
        <v>62.152439273490629</v>
      </c>
      <c r="AY78" s="106">
        <v>217.46344880674872</v>
      </c>
      <c r="AZ78" s="106">
        <v>165.53760819897045</v>
      </c>
      <c r="BA78" s="111">
        <v>5.5816383238711325</v>
      </c>
      <c r="BB78" s="111">
        <v>7.6413289212947646</v>
      </c>
      <c r="BC78" s="111">
        <v>6.4960811009417112</v>
      </c>
      <c r="BD78" s="106"/>
      <c r="BE78" s="111">
        <v>2.31239999312844</v>
      </c>
      <c r="BF78" s="108">
        <v>0.17711134410493845</v>
      </c>
      <c r="BG78" s="107">
        <v>0.32</v>
      </c>
      <c r="BH78" s="108">
        <v>0.28278185475135481</v>
      </c>
      <c r="BI78" s="107">
        <v>1.36</v>
      </c>
      <c r="BJ78" s="107">
        <v>0.82</v>
      </c>
      <c r="BK78" s="111">
        <v>3.0752994067368506</v>
      </c>
      <c r="BL78" s="111">
        <v>1.276279860281186</v>
      </c>
      <c r="BM78" s="108"/>
      <c r="BN78" s="108"/>
      <c r="BO78" s="106">
        <v>34.840434161824042</v>
      </c>
      <c r="BP78" s="108">
        <v>0.5059034636486105</v>
      </c>
      <c r="BQ78" s="107" t="s">
        <v>141</v>
      </c>
      <c r="BR78" s="107" t="s">
        <v>125</v>
      </c>
      <c r="BS78" s="104"/>
      <c r="BT78" s="112">
        <v>50.240001678466797</v>
      </c>
      <c r="BU78" s="113">
        <v>0.41152379723912391</v>
      </c>
      <c r="BV78" s="104"/>
      <c r="BW78" s="104" t="s">
        <v>89</v>
      </c>
    </row>
    <row r="79" spans="38:75">
      <c r="AL79" s="86" t="s">
        <v>148</v>
      </c>
      <c r="AM79" s="87">
        <v>399.07732917749411</v>
      </c>
      <c r="AN79" s="87">
        <v>357.37367333653151</v>
      </c>
      <c r="AO79" s="87">
        <v>385.40939243213307</v>
      </c>
      <c r="AP79" s="88"/>
      <c r="AQ79" s="87">
        <v>360.56294061857659</v>
      </c>
      <c r="AR79" s="89">
        <v>459</v>
      </c>
      <c r="AS79" s="88"/>
      <c r="AT79" s="87">
        <v>391.90716608968484</v>
      </c>
      <c r="AU79" s="87">
        <v>410.50966427694527</v>
      </c>
      <c r="AV79" s="87">
        <v>403.76405586585884</v>
      </c>
      <c r="AW79" s="87">
        <v>379.52964070744827</v>
      </c>
      <c r="AX79" s="87">
        <v>382.9349855077553</v>
      </c>
      <c r="AY79" s="87">
        <v>398.30401398414938</v>
      </c>
      <c r="AZ79" s="87">
        <v>393.64305921330856</v>
      </c>
      <c r="BA79" s="87">
        <v>285.11511665725254</v>
      </c>
      <c r="BB79" s="87">
        <v>376.87354408626845</v>
      </c>
      <c r="BC79" s="87">
        <v>365.25937720447666</v>
      </c>
      <c r="BD79" s="88"/>
      <c r="BE79" s="90">
        <v>1.0902100043921965</v>
      </c>
      <c r="BF79" s="90">
        <v>0.95624670830949476</v>
      </c>
      <c r="BG79" s="87">
        <v>226.85399570617071</v>
      </c>
      <c r="BH79" s="88">
        <v>0.89965316712160881</v>
      </c>
      <c r="BI79" s="87">
        <v>381.25307991886717</v>
      </c>
      <c r="BJ79" s="87">
        <v>352.58596094762396</v>
      </c>
      <c r="BK79" s="87">
        <v>392.88309522356263</v>
      </c>
      <c r="BL79" s="87">
        <v>43.491186489893373</v>
      </c>
      <c r="BM79" s="88"/>
      <c r="BN79" s="88"/>
      <c r="BO79" s="90">
        <v>2.9430894711808633</v>
      </c>
      <c r="BP79" s="87">
        <v>20.487224930839719</v>
      </c>
      <c r="BQ79" s="87">
        <v>383.16322538543449</v>
      </c>
      <c r="BR79" s="87">
        <v>312.50693173387157</v>
      </c>
      <c r="BS79" s="91"/>
      <c r="BT79" s="92">
        <v>45.488002777099595</v>
      </c>
      <c r="BU79" s="93">
        <v>0.85596554945441039</v>
      </c>
      <c r="BV79" s="91"/>
      <c r="BW79" s="94" t="s">
        <v>91</v>
      </c>
    </row>
    <row r="80" spans="38:75" ht="17" thickBot="1">
      <c r="AL80" s="95" t="s">
        <v>149</v>
      </c>
      <c r="AM80" s="96">
        <v>501.01584411300411</v>
      </c>
      <c r="AN80" s="96">
        <v>458.71950023724321</v>
      </c>
      <c r="AO80" s="96">
        <v>502.60811236691865</v>
      </c>
      <c r="AP80" s="97"/>
      <c r="AQ80" s="96">
        <v>459.65694341362274</v>
      </c>
      <c r="AR80" s="98">
        <v>459</v>
      </c>
      <c r="AS80" s="97"/>
      <c r="AT80" s="96">
        <v>490.27877077791248</v>
      </c>
      <c r="AU80" s="96">
        <v>509.4533927092192</v>
      </c>
      <c r="AV80" s="96">
        <v>515.89469606285115</v>
      </c>
      <c r="AW80" s="96">
        <v>486.47583108483485</v>
      </c>
      <c r="AX80" s="96">
        <v>483.16817695037338</v>
      </c>
      <c r="AY80" s="96">
        <v>495.67701348641236</v>
      </c>
      <c r="AZ80" s="96">
        <v>500.2219078810993</v>
      </c>
      <c r="BA80" s="96">
        <v>364.65981368540298</v>
      </c>
      <c r="BB80" s="96">
        <v>457.22105826406988</v>
      </c>
      <c r="BC80" s="96">
        <v>468.70707700537912</v>
      </c>
      <c r="BD80" s="97"/>
      <c r="BE80" s="99">
        <v>1.4892625627212674</v>
      </c>
      <c r="BF80" s="99">
        <v>1.1478743290947016</v>
      </c>
      <c r="BG80" s="96">
        <v>275.16219042487381</v>
      </c>
      <c r="BH80" s="99">
        <v>1.2002977455320911</v>
      </c>
      <c r="BI80" s="96">
        <v>478.75815990165916</v>
      </c>
      <c r="BJ80" s="96">
        <v>439.28373358360284</v>
      </c>
      <c r="BK80" s="96">
        <v>495.05051130894253</v>
      </c>
      <c r="BL80" s="96">
        <v>54.49944054413362</v>
      </c>
      <c r="BM80" s="97"/>
      <c r="BN80" s="97"/>
      <c r="BO80" s="99">
        <v>3.3600787832934391</v>
      </c>
      <c r="BP80" s="96">
        <v>23.723959830257126</v>
      </c>
      <c r="BQ80" s="96">
        <v>468.85832328721779</v>
      </c>
      <c r="BR80" s="96">
        <v>402.73244599976408</v>
      </c>
      <c r="BS80" s="100"/>
      <c r="BT80" s="101">
        <v>42.772001266479499</v>
      </c>
      <c r="BU80" s="102">
        <v>0.86471899928135376</v>
      </c>
      <c r="BV80" s="100"/>
      <c r="BW80" s="103" t="s">
        <v>93</v>
      </c>
    </row>
    <row r="81" spans="38:75"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83"/>
      <c r="BR81" s="83"/>
      <c r="BS81" s="74"/>
      <c r="BT81" s="74"/>
      <c r="BU81" s="74"/>
      <c r="BV81" s="74"/>
      <c r="BW81" s="74"/>
    </row>
    <row r="82" spans="38:75">
      <c r="AL82" s="74" t="s">
        <v>145</v>
      </c>
      <c r="AM82" s="171">
        <v>10</v>
      </c>
      <c r="AN82" s="83">
        <v>23</v>
      </c>
      <c r="AO82" s="171">
        <v>10</v>
      </c>
      <c r="AP82" s="83">
        <v>937000</v>
      </c>
      <c r="AQ82" s="83">
        <v>4600</v>
      </c>
      <c r="AR82" s="83">
        <v>55000</v>
      </c>
      <c r="AS82" s="83">
        <v>55000</v>
      </c>
      <c r="AT82" s="83">
        <v>145</v>
      </c>
      <c r="AU82" s="82">
        <v>0.34</v>
      </c>
      <c r="AV82" s="82">
        <v>0.34</v>
      </c>
      <c r="AW82" s="83">
        <v>58</v>
      </c>
      <c r="AX82" s="83">
        <v>58</v>
      </c>
      <c r="AY82" s="83">
        <v>177</v>
      </c>
      <c r="AZ82" s="83">
        <v>177</v>
      </c>
      <c r="BA82" s="171">
        <v>4.3</v>
      </c>
      <c r="BB82" s="171">
        <v>6.4</v>
      </c>
      <c r="BC82" s="171">
        <v>6.4</v>
      </c>
      <c r="BD82" s="171">
        <v>20</v>
      </c>
      <c r="BE82" s="171">
        <v>2.1</v>
      </c>
      <c r="BF82" s="171">
        <v>1.43</v>
      </c>
      <c r="BG82" s="171">
        <v>1</v>
      </c>
      <c r="BH82" s="171" t="s">
        <v>94</v>
      </c>
      <c r="BI82" s="171" t="s">
        <v>94</v>
      </c>
      <c r="BJ82" s="171" t="s">
        <v>94</v>
      </c>
      <c r="BK82" s="171">
        <v>2.85</v>
      </c>
      <c r="BL82" s="171">
        <v>1.1399999999999999</v>
      </c>
      <c r="BM82" s="171">
        <v>9.44</v>
      </c>
      <c r="BN82" s="171">
        <v>15.1</v>
      </c>
      <c r="BO82" s="171">
        <v>30.1</v>
      </c>
      <c r="BP82" s="82">
        <v>0.66</v>
      </c>
      <c r="BQ82" s="171" t="s">
        <v>94</v>
      </c>
      <c r="BR82" s="171" t="s">
        <v>94</v>
      </c>
      <c r="BS82" s="74"/>
      <c r="BT82" s="74"/>
      <c r="BU82" s="74"/>
      <c r="BV82" s="74"/>
      <c r="BW82" s="74"/>
    </row>
    <row r="83" spans="38:75">
      <c r="BS83" s="74"/>
      <c r="BT83" s="74"/>
      <c r="BU83" s="74"/>
      <c r="BV83" s="74"/>
      <c r="BW83" s="74"/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BW78"/>
  <sheetViews>
    <sheetView zoomScale="119" zoomScaleNormal="100" workbookViewId="0">
      <selection activeCell="F47" sqref="F47"/>
    </sheetView>
  </sheetViews>
  <sheetFormatPr baseColWidth="10" defaultColWidth="8.83203125" defaultRowHeight="16"/>
  <cols>
    <col min="2" max="2" width="11.33203125" customWidth="1"/>
    <col min="3" max="3" width="12.33203125" customWidth="1"/>
    <col min="4" max="4" width="13" customWidth="1"/>
    <col min="5" max="5" width="11.5" customWidth="1"/>
    <col min="6" max="6" width="11" customWidth="1"/>
    <col min="7" max="8" width="11.5" customWidth="1"/>
    <col min="9" max="9" width="10.6640625" customWidth="1"/>
    <col min="10" max="11" width="10.83203125" customWidth="1"/>
    <col min="12" max="12" width="13.33203125" customWidth="1"/>
    <col min="13" max="13" width="10.83203125" customWidth="1"/>
    <col min="14" max="14" width="9.83203125" customWidth="1"/>
    <col min="18" max="18" width="10.1640625" customWidth="1"/>
    <col min="19" max="21" width="10.33203125" customWidth="1"/>
    <col min="22" max="22" width="10.6640625" bestFit="1" customWidth="1"/>
    <col min="25" max="25" width="13.1640625" customWidth="1"/>
    <col min="26" max="26" width="13" customWidth="1"/>
    <col min="27" max="27" width="10.33203125" customWidth="1"/>
    <col min="28" max="28" width="14.1640625" customWidth="1"/>
    <col min="29" max="29" width="10.6640625" customWidth="1"/>
    <col min="30" max="30" width="11.5" customWidth="1"/>
    <col min="31" max="32" width="12.5" style="306" customWidth="1"/>
    <col min="33" max="33" width="14.6640625" customWidth="1"/>
    <col min="34" max="34" width="12.5" customWidth="1"/>
    <col min="37" max="37" width="18.83203125" customWidth="1"/>
    <col min="38" max="40" width="9" bestFit="1" customWidth="1"/>
    <col min="41" max="41" width="9.83203125" bestFit="1" customWidth="1"/>
    <col min="42" max="47" width="9" bestFit="1" customWidth="1"/>
    <col min="48" max="49" width="9.83203125" bestFit="1" customWidth="1"/>
    <col min="50" max="54" width="9" bestFit="1" customWidth="1"/>
    <col min="55" max="55" width="9.83203125" bestFit="1" customWidth="1"/>
    <col min="56" max="63" width="9" bestFit="1" customWidth="1"/>
    <col min="64" max="65" width="8.83203125" bestFit="1" customWidth="1"/>
    <col min="66" max="69" width="9" bestFit="1" customWidth="1"/>
    <col min="71" max="72" width="8.83203125" bestFit="1" customWidth="1"/>
    <col min="74" max="74" width="11.5" customWidth="1"/>
    <col min="75" max="75" width="37.5" customWidth="1"/>
  </cols>
  <sheetData>
    <row r="1" spans="1:75">
      <c r="A1" s="445" t="s">
        <v>495</v>
      </c>
      <c r="B1" s="445" t="s">
        <v>494</v>
      </c>
      <c r="C1" s="306" t="s">
        <v>493</v>
      </c>
      <c r="D1" s="306" t="s">
        <v>492</v>
      </c>
      <c r="E1" s="1442" t="s">
        <v>1421</v>
      </c>
      <c r="F1" s="306" t="s">
        <v>491</v>
      </c>
      <c r="G1" s="306" t="s">
        <v>490</v>
      </c>
      <c r="H1" s="1461" t="s">
        <v>1422</v>
      </c>
      <c r="I1" s="306" t="s">
        <v>489</v>
      </c>
      <c r="J1" s="306" t="s">
        <v>488</v>
      </c>
      <c r="K1" s="1461" t="s">
        <v>1423</v>
      </c>
      <c r="L1" s="874" t="s">
        <v>1393</v>
      </c>
      <c r="M1" s="875" t="s">
        <v>1392</v>
      </c>
      <c r="N1" s="1441" t="s">
        <v>1353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52" t="s">
        <v>935</v>
      </c>
      <c r="X1" s="306" t="s">
        <v>481</v>
      </c>
      <c r="Y1" s="306" t="s">
        <v>480</v>
      </c>
      <c r="Z1" s="1375" t="s">
        <v>1411</v>
      </c>
      <c r="AA1" s="1375" t="s">
        <v>1412</v>
      </c>
      <c r="AB1" s="874" t="s">
        <v>1394</v>
      </c>
      <c r="AC1" s="843" t="s">
        <v>478</v>
      </c>
      <c r="AD1" s="875" t="s">
        <v>1353</v>
      </c>
      <c r="AE1" s="1530" t="s">
        <v>1428</v>
      </c>
      <c r="AF1" s="1530" t="s">
        <v>1429</v>
      </c>
      <c r="AG1" s="1483" t="s">
        <v>1425</v>
      </c>
      <c r="AH1" s="1485" t="s">
        <v>1426</v>
      </c>
      <c r="AI1" s="886" t="s">
        <v>1353</v>
      </c>
      <c r="AJ1" s="839"/>
      <c r="AL1" s="717" t="s">
        <v>271</v>
      </c>
      <c r="AM1" s="73" t="s">
        <v>0</v>
      </c>
      <c r="AN1" s="74"/>
      <c r="AO1" s="74"/>
      <c r="AP1" s="173"/>
      <c r="AQ1" s="173"/>
      <c r="AR1" s="74"/>
      <c r="AS1" s="74"/>
      <c r="AT1" s="74"/>
      <c r="AU1" s="74"/>
      <c r="AV1" s="74"/>
      <c r="AW1" s="74"/>
      <c r="AX1" s="74"/>
      <c r="AY1" s="173"/>
      <c r="AZ1" s="173"/>
      <c r="BA1" s="173"/>
      <c r="BB1" s="173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5" ht="17" thickBo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846"/>
      <c r="M2" s="306"/>
      <c r="N2" s="847"/>
      <c r="O2" s="306"/>
      <c r="P2" s="306"/>
      <c r="Q2" s="306"/>
      <c r="R2" s="306"/>
      <c r="S2" s="306"/>
      <c r="T2" s="306"/>
      <c r="U2" s="306"/>
      <c r="V2" s="306"/>
      <c r="W2" s="853"/>
      <c r="X2" s="306"/>
      <c r="Y2" s="306"/>
      <c r="Z2" s="306"/>
      <c r="AA2" s="306"/>
      <c r="AB2" s="846"/>
      <c r="AC2" s="306"/>
      <c r="AD2" s="840"/>
      <c r="AG2" s="911"/>
      <c r="AH2" s="840"/>
      <c r="AI2" s="901"/>
      <c r="AJ2" s="840"/>
      <c r="AL2" s="176"/>
      <c r="AM2" s="74" t="s">
        <v>219</v>
      </c>
      <c r="AN2" s="74"/>
      <c r="AO2" s="74"/>
      <c r="AP2" s="74"/>
      <c r="AQ2" s="173"/>
      <c r="AR2" s="74"/>
      <c r="AS2" s="74"/>
      <c r="AT2" s="74"/>
      <c r="AU2" s="74"/>
      <c r="AV2" s="75"/>
      <c r="AX2" s="76">
        <v>44321</v>
      </c>
      <c r="AY2" s="75"/>
      <c r="AZ2" s="76"/>
      <c r="BA2" s="173"/>
      <c r="BB2" s="173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</row>
    <row r="3" spans="1:75">
      <c r="A3" s="435" t="s">
        <v>313</v>
      </c>
      <c r="B3" s="435" t="s">
        <v>3</v>
      </c>
      <c r="C3" s="405" t="e">
        <f>AVERAGE(AM56:AM60)</f>
        <v>#DIV/0!</v>
      </c>
      <c r="D3" s="405" t="e">
        <f>STDEV(AM56:AM60)</f>
        <v>#DIV/0!</v>
      </c>
      <c r="E3" s="405" t="e" cm="1">
        <f t="array" ref="E3:E34">2*D3:D34</f>
        <v>#DIV/0!</v>
      </c>
      <c r="F3" s="434">
        <f>AVERAGE(AM61:AM67)</f>
        <v>59.623491727732151</v>
      </c>
      <c r="G3" s="434">
        <f>STDEV(AM61:AM67)</f>
        <v>15.309364085822724</v>
      </c>
      <c r="H3" s="434" cm="1">
        <f t="array" ref="H3:H34">2*G3:G34</f>
        <v>30.618728171645447</v>
      </c>
      <c r="I3" s="434">
        <f>AVERAGE(AM68:AM72)</f>
        <v>10.478088314501333</v>
      </c>
      <c r="J3" s="434">
        <f>STDEV(AM68:AM72)</f>
        <v>1.7826811078223166</v>
      </c>
      <c r="K3" s="434" cm="1">
        <f t="array" ref="K3:K34">2*J3:J34</f>
        <v>3.5653622156446332</v>
      </c>
      <c r="L3" s="848" t="e" cm="1">
        <f t="array" ref="L3:L34">C3:C34/I3:I34</f>
        <v>#DIV/0!</v>
      </c>
      <c r="M3" s="406" t="e" cm="1">
        <f t="array" ref="M3:M34">L3:L34*SQRT((J3:J34/I3:I34)^2 + (D3:D34/C3:C34)^2)</f>
        <v>#DIV/0!</v>
      </c>
      <c r="N3" s="920" t="e" cm="1">
        <f t="array" ref="N3:N34">(2*M3:M34)</f>
        <v>#DIV/0!</v>
      </c>
      <c r="O3" s="433">
        <v>0.56999999999999995</v>
      </c>
      <c r="P3" s="433">
        <v>3</v>
      </c>
      <c r="Q3" s="778">
        <v>0.43598039100000002</v>
      </c>
      <c r="R3" s="570">
        <f>(1-(2*Q3))/(1-Q3)</f>
        <v>0.22701199737897756</v>
      </c>
      <c r="S3" s="778">
        <f>O3*(((1-(2*C47))/(1-C47))^P3)</f>
        <v>3.8444446610181866E-3</v>
      </c>
      <c r="T3" s="433">
        <f>O3*(((1-(2*C46))/(1-C46))^P3)</f>
        <v>1.0448186390183105E-2</v>
      </c>
      <c r="U3" s="433" cm="1">
        <f t="array" ref="U3:U34">W3:W34-S3:S34</f>
        <v>2.8239498489845455E-3</v>
      </c>
      <c r="V3" s="433" cm="1">
        <f t="array" ref="V3:V34">T3:T34-W3:W34</f>
        <v>3.7797918801803724E-3</v>
      </c>
      <c r="W3" s="898">
        <f t="shared" ref="W3:W33" si="0">O3*((R3)^P3)</f>
        <v>6.6683945100027321E-3</v>
      </c>
      <c r="X3" s="721" t="e">
        <f>L3/W3</f>
        <v>#DIV/0!</v>
      </c>
      <c r="Y3" s="721" t="e">
        <f>X3*(M3/L3)</f>
        <v>#DIV/0!</v>
      </c>
      <c r="Z3" s="721"/>
      <c r="AA3" s="721"/>
      <c r="AB3" s="857" t="e" cm="1">
        <f t="array" ref="AB3:AB34">C3:C34/F3:F34</f>
        <v>#DIV/0!</v>
      </c>
      <c r="AC3" s="406" t="e" cm="1">
        <f t="array" ref="AC3:AC34">AB3:AB34*SQRT((D3:D34/C3:C34)^2 + (G3:G34/F3:F34)^2)</f>
        <v>#DIV/0!</v>
      </c>
      <c r="AD3" s="908" t="e" cm="1">
        <f t="array" ref="AD3:AD34">2*(AC3:AC34)</f>
        <v>#DIV/0!</v>
      </c>
      <c r="AE3" s="570"/>
      <c r="AF3" s="570"/>
      <c r="AG3" s="912" cm="1">
        <f t="array" ref="AG3:AG34">F3:F34/I3:I34</f>
        <v>5.6903024614914894</v>
      </c>
      <c r="AH3" s="909" cm="1">
        <f t="array" ref="AH3:AH34">AG3:AG34*SQRT((J3:J34/I3:I34)^2 + (G3:G34/F3:F34)^2)</f>
        <v>1.7527156887078614</v>
      </c>
      <c r="AI3" s="904" cm="1">
        <f t="array" ref="AI3:AI34">2*AH3:AH34</f>
        <v>3.5054313774157229</v>
      </c>
      <c r="AJ3" s="435" t="s">
        <v>3</v>
      </c>
      <c r="AL3" s="79" t="s">
        <v>2</v>
      </c>
      <c r="AM3" s="77" t="s">
        <v>3</v>
      </c>
      <c r="AN3" s="77" t="s">
        <v>4</v>
      </c>
      <c r="AO3" s="77" t="s">
        <v>5</v>
      </c>
      <c r="AP3" s="77" t="s">
        <v>6</v>
      </c>
      <c r="AQ3" s="77" t="s">
        <v>7</v>
      </c>
      <c r="AR3" s="78" t="s">
        <v>8</v>
      </c>
      <c r="AS3" s="77" t="s">
        <v>8</v>
      </c>
      <c r="AT3" s="77" t="s">
        <v>9</v>
      </c>
      <c r="AU3" s="77" t="s">
        <v>10</v>
      </c>
      <c r="AV3" s="77" t="s">
        <v>10</v>
      </c>
      <c r="AW3" s="77" t="s">
        <v>11</v>
      </c>
      <c r="AX3" s="77" t="s">
        <v>11</v>
      </c>
      <c r="AY3" s="77" t="s">
        <v>12</v>
      </c>
      <c r="AZ3" s="77" t="s">
        <v>12</v>
      </c>
      <c r="BA3" s="77" t="s">
        <v>13</v>
      </c>
      <c r="BB3" s="77" t="s">
        <v>14</v>
      </c>
      <c r="BC3" s="77" t="s">
        <v>14</v>
      </c>
      <c r="BD3" s="77" t="s">
        <v>15</v>
      </c>
      <c r="BE3" s="77" t="s">
        <v>16</v>
      </c>
      <c r="BF3" s="77" t="s">
        <v>17</v>
      </c>
      <c r="BG3" s="77" t="s">
        <v>18</v>
      </c>
      <c r="BH3" s="77" t="s">
        <v>17</v>
      </c>
      <c r="BI3" s="77" t="s">
        <v>19</v>
      </c>
      <c r="BJ3" s="77" t="s">
        <v>20</v>
      </c>
      <c r="BK3" s="77" t="s">
        <v>21</v>
      </c>
      <c r="BL3" s="77" t="s">
        <v>22</v>
      </c>
      <c r="BM3" s="77" t="s">
        <v>23</v>
      </c>
      <c r="BN3" s="77" t="s">
        <v>24</v>
      </c>
      <c r="BO3" s="77" t="s">
        <v>25</v>
      </c>
      <c r="BP3" s="77" t="s">
        <v>26</v>
      </c>
      <c r="BQ3" s="77" t="s">
        <v>27</v>
      </c>
      <c r="BR3" s="77" t="s">
        <v>28</v>
      </c>
      <c r="BS3" s="74"/>
      <c r="BT3" s="77" t="s">
        <v>29</v>
      </c>
      <c r="BU3" s="77" t="s">
        <v>30</v>
      </c>
      <c r="BV3" s="77"/>
      <c r="BW3" s="79" t="s">
        <v>31</v>
      </c>
    </row>
    <row r="4" spans="1:75">
      <c r="A4" s="435" t="s">
        <v>313</v>
      </c>
      <c r="B4" s="435" t="s">
        <v>4</v>
      </c>
      <c r="C4" s="405" t="e">
        <f>AVERAGE(AN56:AN60)</f>
        <v>#DIV/0!</v>
      </c>
      <c r="D4" s="405" t="e">
        <f>STDEV(AN56:AN60)</f>
        <v>#DIV/0!</v>
      </c>
      <c r="E4" s="405" t="e">
        <v>#DIV/0!</v>
      </c>
      <c r="F4" s="434">
        <f>AVERAGE(AN61:AN67)</f>
        <v>184.95268995385203</v>
      </c>
      <c r="G4" s="434">
        <f>STDEV(AN61:AN67)</f>
        <v>45.678941602850109</v>
      </c>
      <c r="H4" s="434">
        <v>91.357883205700219</v>
      </c>
      <c r="I4" s="434">
        <f>AVERAGE(AN68:AN72)</f>
        <v>27.291508916760097</v>
      </c>
      <c r="J4" s="434">
        <f>STDEV(AN68:AN72)</f>
        <v>5.0563907797253735</v>
      </c>
      <c r="K4" s="434">
        <v>10.112781559450747</v>
      </c>
      <c r="L4" s="848" t="e">
        <v>#DIV/0!</v>
      </c>
      <c r="M4" s="406" t="e">
        <v>#DIV/0!</v>
      </c>
      <c r="N4" s="920" t="e">
        <v>#DIV/0!</v>
      </c>
      <c r="O4" s="433">
        <v>0.81</v>
      </c>
      <c r="P4" s="433">
        <v>1.66</v>
      </c>
      <c r="Q4" s="778">
        <v>0.43598039100000002</v>
      </c>
      <c r="R4" s="570">
        <f t="shared" ref="R4:R33" si="1">(1-(2*Q4))/(1-Q4)</f>
        <v>0.22701199737897756</v>
      </c>
      <c r="S4" s="433">
        <f>O4*(((1-(2*C47))/(1-C47))^P4)</f>
        <v>5.0953677234615788E-2</v>
      </c>
      <c r="T4" s="433">
        <f>O4*(((1-(2*C46))/(1-C46))^P4)</f>
        <v>8.8600649009006632E-2</v>
      </c>
      <c r="U4" s="433">
        <v>1.8153959747637019E-2</v>
      </c>
      <c r="V4" s="433">
        <v>1.9493012026753825E-2</v>
      </c>
      <c r="W4" s="898">
        <f t="shared" si="0"/>
        <v>6.9107636982252807E-2</v>
      </c>
      <c r="X4" s="721" t="e">
        <f>L4/W4</f>
        <v>#DIV/0!</v>
      </c>
      <c r="Y4" s="721" t="e">
        <f>X4*(M4/L4)</f>
        <v>#DIV/0!</v>
      </c>
      <c r="Z4" s="1492">
        <f>AN50/F4</f>
        <v>2.9849512754522274E-3</v>
      </c>
      <c r="AA4" s="721"/>
      <c r="AB4" s="857" t="e">
        <v>#DIV/0!</v>
      </c>
      <c r="AC4" s="406" t="e">
        <v>#DIV/0!</v>
      </c>
      <c r="AD4" s="908" t="e">
        <v>#DIV/0!</v>
      </c>
      <c r="AE4" s="570"/>
      <c r="AF4" s="570"/>
      <c r="AG4" s="912">
        <v>6.7769316280006047</v>
      </c>
      <c r="AH4" s="909">
        <v>2.0923446387678148</v>
      </c>
      <c r="AI4" s="904">
        <v>4.1846892775356297</v>
      </c>
      <c r="AJ4" s="435" t="s">
        <v>4</v>
      </c>
      <c r="AL4" s="79" t="s">
        <v>32</v>
      </c>
      <c r="AM4" s="74">
        <v>51</v>
      </c>
      <c r="AN4" s="74">
        <v>53</v>
      </c>
      <c r="AO4" s="74">
        <v>55</v>
      </c>
      <c r="AP4" s="74">
        <v>57</v>
      </c>
      <c r="AQ4" s="74">
        <v>59</v>
      </c>
      <c r="AR4" s="80">
        <v>61</v>
      </c>
      <c r="AS4" s="74">
        <v>62</v>
      </c>
      <c r="AT4" s="74">
        <v>63</v>
      </c>
      <c r="AU4" s="74">
        <v>66</v>
      </c>
      <c r="AV4" s="74">
        <v>67</v>
      </c>
      <c r="AW4" s="74">
        <v>69</v>
      </c>
      <c r="AX4" s="74">
        <v>71</v>
      </c>
      <c r="AY4" s="74">
        <v>72</v>
      </c>
      <c r="AZ4" s="74">
        <v>73</v>
      </c>
      <c r="BA4" s="74">
        <v>75</v>
      </c>
      <c r="BB4" s="74">
        <v>95</v>
      </c>
      <c r="BC4" s="74">
        <v>97</v>
      </c>
      <c r="BD4" s="74">
        <v>101</v>
      </c>
      <c r="BE4" s="74">
        <v>103</v>
      </c>
      <c r="BF4" s="74">
        <v>105</v>
      </c>
      <c r="BG4" s="74">
        <v>107</v>
      </c>
      <c r="BH4" s="74">
        <v>108</v>
      </c>
      <c r="BI4" s="74">
        <v>118</v>
      </c>
      <c r="BJ4" s="74">
        <v>121</v>
      </c>
      <c r="BK4" s="74">
        <v>184</v>
      </c>
      <c r="BL4" s="74">
        <v>185</v>
      </c>
      <c r="BM4" s="74">
        <v>189</v>
      </c>
      <c r="BN4" s="74">
        <v>193</v>
      </c>
      <c r="BO4" s="74">
        <v>195</v>
      </c>
      <c r="BP4" s="74">
        <v>197</v>
      </c>
      <c r="BQ4" s="74">
        <v>208</v>
      </c>
      <c r="BR4" s="74">
        <v>209</v>
      </c>
      <c r="BS4" s="74"/>
      <c r="BT4" s="77" t="s">
        <v>33</v>
      </c>
      <c r="BU4" s="77" t="s">
        <v>34</v>
      </c>
      <c r="BV4" s="74"/>
      <c r="BW4" s="74"/>
    </row>
    <row r="5" spans="1:75">
      <c r="A5" s="435" t="s">
        <v>313</v>
      </c>
      <c r="B5" s="435" t="s">
        <v>5</v>
      </c>
      <c r="C5" s="405" t="e">
        <f>AVERAGE(AO56:AO60)</f>
        <v>#DIV/0!</v>
      </c>
      <c r="D5" s="405" t="e">
        <f>STDEV(AO56:AO60)</f>
        <v>#DIV/0!</v>
      </c>
      <c r="E5" s="405" t="e">
        <v>#DIV/0!</v>
      </c>
      <c r="F5" s="434">
        <f>AVERAGE(AO61:AO67)</f>
        <v>670.75170858722481</v>
      </c>
      <c r="G5" s="434">
        <f>STDEV(AO61:AO67)</f>
        <v>58.089405607855724</v>
      </c>
      <c r="H5" s="434">
        <v>116.17881121571145</v>
      </c>
      <c r="I5" s="434">
        <f>AVERAGE(AO68:AO72)</f>
        <v>189.94465296186542</v>
      </c>
      <c r="J5" s="434">
        <f>STDEV(AO68:AO72)</f>
        <v>24.079894909774552</v>
      </c>
      <c r="K5" s="434">
        <v>48.159789819549104</v>
      </c>
      <c r="L5" s="848" t="e">
        <v>#DIV/0!</v>
      </c>
      <c r="M5" s="406" t="e">
        <v>#DIV/0!</v>
      </c>
      <c r="N5" s="920" t="e">
        <v>#DIV/0!</v>
      </c>
      <c r="O5" s="433"/>
      <c r="P5" s="433"/>
      <c r="Q5" s="778">
        <v>0.43598039100000002</v>
      </c>
      <c r="R5" s="570">
        <f t="shared" si="1"/>
        <v>0.22701199737897756</v>
      </c>
      <c r="S5" s="433"/>
      <c r="T5" s="433"/>
      <c r="U5" s="433">
        <v>0</v>
      </c>
      <c r="V5" s="433">
        <v>0</v>
      </c>
      <c r="W5" s="898"/>
      <c r="X5" s="721" t="e">
        <f>L5/W5</f>
        <v>#DIV/0!</v>
      </c>
      <c r="Y5" s="721" t="e">
        <f>X5*(M5/L5)</f>
        <v>#DIV/0!</v>
      </c>
      <c r="Z5" s="721"/>
      <c r="AA5" s="721"/>
      <c r="AB5" s="857" t="e">
        <v>#DIV/0!</v>
      </c>
      <c r="AC5" s="406" t="e">
        <v>#DIV/0!</v>
      </c>
      <c r="AD5" s="908" t="e">
        <v>#DIV/0!</v>
      </c>
      <c r="AE5" s="570"/>
      <c r="AF5" s="570"/>
      <c r="AG5" s="912">
        <v>3.5313008190964421</v>
      </c>
      <c r="AH5" s="909">
        <v>0.54216226855709504</v>
      </c>
      <c r="AI5" s="904">
        <v>1.0843245371141901</v>
      </c>
      <c r="AJ5" s="435" t="s">
        <v>5</v>
      </c>
      <c r="AL5" s="79"/>
      <c r="AM5" s="77" t="s">
        <v>35</v>
      </c>
      <c r="AN5" s="77" t="s">
        <v>35</v>
      </c>
      <c r="AO5" s="77" t="s">
        <v>35</v>
      </c>
      <c r="AP5" s="77" t="s">
        <v>35</v>
      </c>
      <c r="AQ5" s="77" t="s">
        <v>35</v>
      </c>
      <c r="AR5" s="81" t="s">
        <v>35</v>
      </c>
      <c r="AS5" s="77" t="s">
        <v>35</v>
      </c>
      <c r="AT5" s="77" t="s">
        <v>35</v>
      </c>
      <c r="AU5" s="77" t="s">
        <v>35</v>
      </c>
      <c r="AV5" s="77" t="s">
        <v>35</v>
      </c>
      <c r="AW5" s="77" t="s">
        <v>35</v>
      </c>
      <c r="AX5" s="77" t="s">
        <v>35</v>
      </c>
      <c r="AY5" s="77" t="s">
        <v>35</v>
      </c>
      <c r="AZ5" s="77" t="s">
        <v>35</v>
      </c>
      <c r="BA5" s="77" t="s">
        <v>35</v>
      </c>
      <c r="BB5" s="77" t="s">
        <v>35</v>
      </c>
      <c r="BC5" s="77" t="s">
        <v>35</v>
      </c>
      <c r="BD5" s="77" t="s">
        <v>35</v>
      </c>
      <c r="BE5" s="77" t="s">
        <v>35</v>
      </c>
      <c r="BF5" s="77" t="s">
        <v>35</v>
      </c>
      <c r="BG5" s="77" t="s">
        <v>35</v>
      </c>
      <c r="BH5" s="77" t="s">
        <v>35</v>
      </c>
      <c r="BI5" s="77" t="s">
        <v>35</v>
      </c>
      <c r="BJ5" s="77" t="s">
        <v>35</v>
      </c>
      <c r="BK5" s="77" t="s">
        <v>35</v>
      </c>
      <c r="BL5" s="77" t="s">
        <v>35</v>
      </c>
      <c r="BM5" s="77" t="s">
        <v>35</v>
      </c>
      <c r="BN5" s="77" t="s">
        <v>35</v>
      </c>
      <c r="BO5" s="77" t="s">
        <v>35</v>
      </c>
      <c r="BP5" s="77" t="s">
        <v>35</v>
      </c>
      <c r="BQ5" s="77" t="s">
        <v>35</v>
      </c>
      <c r="BR5" s="77" t="s">
        <v>35</v>
      </c>
      <c r="BS5" s="74"/>
      <c r="BT5" s="74"/>
      <c r="BU5" s="74"/>
      <c r="BV5" s="74"/>
      <c r="BW5" s="74"/>
    </row>
    <row r="6" spans="1:75">
      <c r="A6" s="734" t="s">
        <v>313</v>
      </c>
      <c r="B6" s="734" t="s">
        <v>6</v>
      </c>
      <c r="C6" s="735">
        <f>AVERAGE(AP56:AP60)</f>
        <v>1253720.5511079223</v>
      </c>
      <c r="D6" s="735">
        <f>STDEV(AP56:AP60)</f>
        <v>86343.533034792374</v>
      </c>
      <c r="E6" s="735">
        <v>172687.06606958475</v>
      </c>
      <c r="F6" s="735">
        <f>AVERAGE(AP61:AP67)</f>
        <v>877943.4844069219</v>
      </c>
      <c r="G6" s="735">
        <f>STDEV(AP61:AP67)</f>
        <v>60289.624106005169</v>
      </c>
      <c r="H6" s="735">
        <v>120579.24821201034</v>
      </c>
      <c r="I6" s="735">
        <f>AVERAGE(AP68:AP72)</f>
        <v>952391.21059837693</v>
      </c>
      <c r="J6" s="735">
        <f>STDEV(AP68:AP72)</f>
        <v>60858.230857399692</v>
      </c>
      <c r="K6" s="735">
        <v>121716.46171479938</v>
      </c>
      <c r="L6" s="1337">
        <v>1.3163923996318945</v>
      </c>
      <c r="M6" s="903">
        <v>0.12367310653537972</v>
      </c>
      <c r="N6" s="1342">
        <v>0.24734621307075944</v>
      </c>
      <c r="O6" s="736"/>
      <c r="P6" s="736"/>
      <c r="Q6" s="778">
        <v>0.43598039100000002</v>
      </c>
      <c r="R6" s="781">
        <f t="shared" si="1"/>
        <v>0.22701199737897756</v>
      </c>
      <c r="S6" s="736"/>
      <c r="T6" s="736"/>
      <c r="U6" s="736">
        <v>0</v>
      </c>
      <c r="V6" s="736">
        <v>0</v>
      </c>
      <c r="W6" s="899"/>
      <c r="X6" s="736"/>
      <c r="Y6" s="736"/>
      <c r="Z6" s="736"/>
      <c r="AA6" s="736"/>
      <c r="AB6" s="905">
        <v>1.4280196543116321</v>
      </c>
      <c r="AC6" s="924">
        <v>0.13888413225760049</v>
      </c>
      <c r="AD6" s="910">
        <v>0.27776826451520098</v>
      </c>
      <c r="AE6" s="570"/>
      <c r="AF6" s="570"/>
      <c r="AG6" s="912">
        <v>0.92183072947021383</v>
      </c>
      <c r="AH6" s="909">
        <v>8.6470629895348761E-2</v>
      </c>
      <c r="AI6" s="904">
        <v>0.17294125979069752</v>
      </c>
      <c r="AJ6" s="734" t="s">
        <v>6</v>
      </c>
      <c r="AL6" s="79"/>
      <c r="AM6" s="173"/>
      <c r="AN6" s="173"/>
      <c r="AO6" s="173"/>
      <c r="AP6" s="173"/>
      <c r="AQ6" s="173"/>
      <c r="AR6" s="174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</row>
    <row r="7" spans="1:75">
      <c r="A7" s="737" t="s">
        <v>313</v>
      </c>
      <c r="B7" s="737" t="s">
        <v>7</v>
      </c>
      <c r="C7" s="1465">
        <f>AVERAGE(AQ56:AQ60)</f>
        <v>496.25988626960481</v>
      </c>
      <c r="D7" s="735">
        <f>STDEV(AQ56:AQ60)</f>
        <v>26.423524757039999</v>
      </c>
      <c r="E7" s="1465">
        <v>52.847049514079998</v>
      </c>
      <c r="F7" s="1465">
        <f>AVERAGE(AQ61:AQ67)</f>
        <v>27.896774569580259</v>
      </c>
      <c r="G7" s="735">
        <f>STDEV(AQ61:AQ67)</f>
        <v>1.1874450630185998</v>
      </c>
      <c r="H7" s="1465">
        <v>2.3748901260371995</v>
      </c>
      <c r="I7" s="1465">
        <f>AVERAGE(AQ68:AQ72)</f>
        <v>111.64528715611013</v>
      </c>
      <c r="J7" s="735">
        <f>STDEV(AQ68:AQ72)</f>
        <v>8.0205590742718105</v>
      </c>
      <c r="K7" s="1465">
        <v>16.041118148543621</v>
      </c>
      <c r="L7" s="1336">
        <v>4.4449694108063875</v>
      </c>
      <c r="M7" s="781">
        <v>0.39747079826387088</v>
      </c>
      <c r="N7" s="1515">
        <v>0.79494159652774177</v>
      </c>
      <c r="O7" s="738">
        <v>0.95</v>
      </c>
      <c r="P7" s="738">
        <v>-1.26</v>
      </c>
      <c r="Q7" s="778">
        <v>0.43598039100000002</v>
      </c>
      <c r="R7" s="781">
        <f t="shared" si="1"/>
        <v>0.22701199737897756</v>
      </c>
      <c r="S7" s="781">
        <f>O7*(((1-(2*C46))/(1-C46))^P7)</f>
        <v>5.0955827860496541</v>
      </c>
      <c r="T7" s="781">
        <f>O7*(((1-(2*C47))/(1-C47))^P7)</f>
        <v>7.7546272484899879</v>
      </c>
      <c r="U7" s="781">
        <v>1.057632423341456</v>
      </c>
      <c r="V7" s="781">
        <v>1.6014120390988777</v>
      </c>
      <c r="W7" s="1362">
        <f t="shared" si="0"/>
        <v>6.1532152093911101</v>
      </c>
      <c r="X7" s="736">
        <f t="shared" ref="X7:X34" si="2">L7/W7</f>
        <v>0.72238159393847012</v>
      </c>
      <c r="Y7" s="736">
        <f t="shared" ref="Y7:Y34" si="3">X7*(M7/L7)</f>
        <v>6.4595627609001255E-2</v>
      </c>
      <c r="Z7" s="736"/>
      <c r="AA7" s="736"/>
      <c r="AB7" s="905">
        <v>17.789149244900379</v>
      </c>
      <c r="AC7" s="736">
        <v>1.2126541729855207</v>
      </c>
      <c r="AD7" s="910">
        <v>2.4253083459710414</v>
      </c>
      <c r="AE7" s="570"/>
      <c r="AF7" s="570"/>
      <c r="AG7" s="919">
        <v>0.24986970144626944</v>
      </c>
      <c r="AH7" s="910">
        <v>2.0864902580066184E-2</v>
      </c>
      <c r="AI7" s="906">
        <v>4.1729805160132367E-2</v>
      </c>
      <c r="AJ7" s="737" t="s">
        <v>7</v>
      </c>
      <c r="AL7" s="79" t="s">
        <v>36</v>
      </c>
      <c r="AM7" s="171">
        <v>54.3</v>
      </c>
      <c r="AN7" s="83">
        <v>2646</v>
      </c>
      <c r="AO7" s="83">
        <v>1933</v>
      </c>
      <c r="AP7" s="83">
        <v>184300</v>
      </c>
      <c r="AQ7" s="83">
        <v>506</v>
      </c>
      <c r="AR7" s="84">
        <v>10770</v>
      </c>
      <c r="AS7" s="83">
        <v>10770</v>
      </c>
      <c r="AT7" s="83">
        <v>131</v>
      </c>
      <c r="AU7" s="83">
        <v>323</v>
      </c>
      <c r="AV7" s="83">
        <v>323</v>
      </c>
      <c r="AW7" s="82">
        <v>9.7100000000000009</v>
      </c>
      <c r="AX7" s="82">
        <v>9.7100000000000009</v>
      </c>
      <c r="AY7" s="171">
        <v>32.6</v>
      </c>
      <c r="AZ7" s="82">
        <v>32.6</v>
      </c>
      <c r="BA7" s="82">
        <v>1.81</v>
      </c>
      <c r="BB7" s="82">
        <v>0.92800000000000005</v>
      </c>
      <c r="BC7" s="82">
        <v>0.92800000000000005</v>
      </c>
      <c r="BD7" s="82">
        <v>0.68300000000000005</v>
      </c>
      <c r="BE7" s="82">
        <v>0.14000000000000001</v>
      </c>
      <c r="BF7" s="82">
        <v>0.55600000000000005</v>
      </c>
      <c r="BG7" s="82">
        <v>0.19700000000000001</v>
      </c>
      <c r="BH7" s="82">
        <v>0.55600000000000005</v>
      </c>
      <c r="BI7" s="82">
        <v>1.68</v>
      </c>
      <c r="BJ7" s="82">
        <v>0.13300000000000001</v>
      </c>
      <c r="BK7" s="82">
        <v>9.0300000000000005E-2</v>
      </c>
      <c r="BL7" s="82">
        <v>3.95E-2</v>
      </c>
      <c r="BM7" s="82">
        <v>0.50600000000000001</v>
      </c>
      <c r="BN7" s="82">
        <v>0.48</v>
      </c>
      <c r="BO7" s="82">
        <v>0.98199999999999998</v>
      </c>
      <c r="BP7" s="82">
        <v>0.14799999999999999</v>
      </c>
      <c r="BQ7" s="82">
        <v>2.5299999999999998</v>
      </c>
      <c r="BR7" s="82">
        <v>0.111</v>
      </c>
      <c r="BS7" s="74"/>
      <c r="BT7" s="74"/>
      <c r="BU7" s="74"/>
      <c r="BV7" s="74"/>
      <c r="BW7" s="74"/>
    </row>
    <row r="8" spans="1:75">
      <c r="A8" s="737" t="s">
        <v>313</v>
      </c>
      <c r="B8" s="737" t="s">
        <v>477</v>
      </c>
      <c r="C8" s="735">
        <f>AVERAGE(AR56:AR60)</f>
        <v>154100</v>
      </c>
      <c r="D8" s="735">
        <f>STDEV(AR56:AR60)</f>
        <v>0</v>
      </c>
      <c r="E8" s="735">
        <v>0</v>
      </c>
      <c r="F8" s="735">
        <f>AVERAGE(AR61:AR67)</f>
        <v>6200</v>
      </c>
      <c r="G8" s="735">
        <f>STDEV(AR61:AR67)</f>
        <v>0</v>
      </c>
      <c r="H8" s="735">
        <v>0</v>
      </c>
      <c r="I8" s="735">
        <f>AVERAGE(AR68:AR72)</f>
        <v>79400</v>
      </c>
      <c r="J8" s="735">
        <f>STDEV(AR68:AR72)</f>
        <v>0</v>
      </c>
      <c r="K8" s="735">
        <v>0</v>
      </c>
      <c r="L8" s="1337">
        <v>1.9408060453400504</v>
      </c>
      <c r="M8" s="903">
        <v>0</v>
      </c>
      <c r="N8" s="1342">
        <v>0</v>
      </c>
      <c r="O8" s="738">
        <v>0.874</v>
      </c>
      <c r="P8" s="738">
        <v>-0.51700000000000002</v>
      </c>
      <c r="Q8" s="778">
        <v>0.43598039100000002</v>
      </c>
      <c r="R8" s="781">
        <f t="shared" si="1"/>
        <v>0.22701199737897756</v>
      </c>
      <c r="S8" s="781">
        <f>O8*(((1-(2*C46))/(1-C46))^P8)</f>
        <v>1.7411084195767328</v>
      </c>
      <c r="T8" s="781">
        <f>O8*(((1-(2*C47))/(1-C47))^P8)</f>
        <v>2.0684937197275426</v>
      </c>
      <c r="U8" s="781">
        <v>0.14008823579478413</v>
      </c>
      <c r="V8" s="781">
        <v>0.18729706435602567</v>
      </c>
      <c r="W8" s="1362">
        <f t="shared" si="0"/>
        <v>1.8811966553715169</v>
      </c>
      <c r="X8" s="736">
        <f t="shared" si="2"/>
        <v>1.0316869529819366</v>
      </c>
      <c r="Y8" s="736">
        <f t="shared" si="3"/>
        <v>0</v>
      </c>
      <c r="Z8" s="736"/>
      <c r="AA8" s="736"/>
      <c r="AB8" s="905">
        <v>24.85483870967742</v>
      </c>
      <c r="AC8" s="736">
        <v>0</v>
      </c>
      <c r="AD8" s="910">
        <v>0</v>
      </c>
      <c r="AE8" s="570"/>
      <c r="AF8" s="570"/>
      <c r="AG8" s="916">
        <v>7.8085642317380355E-2</v>
      </c>
      <c r="AH8" s="917">
        <v>0</v>
      </c>
      <c r="AI8" s="918">
        <v>0</v>
      </c>
      <c r="AJ8" s="737" t="s">
        <v>477</v>
      </c>
      <c r="AL8" s="79" t="s">
        <v>1351</v>
      </c>
      <c r="AM8" s="82">
        <v>4.2589109309410658</v>
      </c>
      <c r="AN8" s="82">
        <v>0.16105457150887528</v>
      </c>
      <c r="AO8" s="82">
        <v>2.6753934759513514</v>
      </c>
      <c r="AP8" s="82">
        <v>11.307824791481867</v>
      </c>
      <c r="AQ8" s="82">
        <v>0.20816415858230181</v>
      </c>
      <c r="AR8" s="85">
        <v>2.3694512588312255</v>
      </c>
      <c r="AS8" s="82">
        <v>5.7489343042506809</v>
      </c>
      <c r="AT8" s="82">
        <v>2.3639290606806876E-2</v>
      </c>
      <c r="AU8" s="82">
        <v>5.6661414851309919E-2</v>
      </c>
      <c r="AV8" s="82">
        <v>0.23891157351256379</v>
      </c>
      <c r="AW8" s="82">
        <v>9.4216273724218296E-3</v>
      </c>
      <c r="AX8" s="82">
        <v>1.7958970497459332E-2</v>
      </c>
      <c r="AY8" s="82">
        <v>0.21555240906687997</v>
      </c>
      <c r="AZ8" s="82">
        <v>0.4418376587831857</v>
      </c>
      <c r="BA8" s="82">
        <v>4.466512315184256E-2</v>
      </c>
      <c r="BB8" s="82">
        <v>1.168834052690372E-2</v>
      </c>
      <c r="BC8" s="82">
        <v>1.7876732060118215E-2</v>
      </c>
      <c r="BD8" s="82">
        <v>1.3307422770298073E-2</v>
      </c>
      <c r="BE8" s="82">
        <v>2.2274257678808421E-3</v>
      </c>
      <c r="BF8" s="82">
        <v>1.5555135481400837E-2</v>
      </c>
      <c r="BG8" s="82">
        <v>3.429673217482383</v>
      </c>
      <c r="BH8" s="82">
        <v>1.5942855864587359E-2</v>
      </c>
      <c r="BI8" s="82"/>
      <c r="BJ8" s="82"/>
      <c r="BK8" s="82">
        <v>3.2105195952320041E-3</v>
      </c>
      <c r="BL8" s="1393">
        <v>3.3614712522468185E-3</v>
      </c>
      <c r="BM8" s="1393">
        <v>8.1151263028989822E-3</v>
      </c>
      <c r="BN8" s="82">
        <v>0</v>
      </c>
      <c r="BO8" s="1393">
        <v>3.8482842765235319E-3</v>
      </c>
      <c r="BP8" s="82">
        <v>1.2110670095509797E-2</v>
      </c>
      <c r="BQ8" s="82"/>
      <c r="BR8" s="82"/>
      <c r="BS8" s="74"/>
      <c r="BT8" s="74"/>
      <c r="BU8" s="74"/>
      <c r="BV8" s="74"/>
      <c r="BW8" s="74"/>
    </row>
    <row r="9" spans="1:75" ht="17">
      <c r="A9" s="737" t="s">
        <v>313</v>
      </c>
      <c r="B9" s="737" t="s">
        <v>475</v>
      </c>
      <c r="C9" s="735">
        <f>AVERAGE(AS56:AS60)</f>
        <v>254490.67123528608</v>
      </c>
      <c r="D9" s="735">
        <f>STDEV(AS56:AS60)</f>
        <v>17705.582344763498</v>
      </c>
      <c r="E9" s="735">
        <v>35411.164689526995</v>
      </c>
      <c r="F9" s="735">
        <f>AVERAGE(AS61:AS67)</f>
        <v>9778.1305480457995</v>
      </c>
      <c r="G9" s="735">
        <f>STDEV(AS61:AS67)</f>
        <v>98.310013744143305</v>
      </c>
      <c r="H9" s="735">
        <v>196.62002748828661</v>
      </c>
      <c r="I9" s="735">
        <f>AVERAGE(AS68:AS72)</f>
        <v>128443.67673073236</v>
      </c>
      <c r="J9" s="735">
        <f>STDEV(AS68:AS72)</f>
        <v>1380.5895061680917</v>
      </c>
      <c r="K9" s="735">
        <v>2761.1790123361834</v>
      </c>
      <c r="L9" s="1337">
        <v>1.9813405977843268</v>
      </c>
      <c r="M9" s="903">
        <v>0.13948246028920175</v>
      </c>
      <c r="N9" s="1342">
        <v>0.2789649205784035</v>
      </c>
      <c r="O9" s="738">
        <v>0.874</v>
      </c>
      <c r="P9" s="738">
        <v>-0.52</v>
      </c>
      <c r="Q9" s="778">
        <v>0.43598039100000002</v>
      </c>
      <c r="R9" s="781">
        <f t="shared" si="1"/>
        <v>0.22701199737897756</v>
      </c>
      <c r="S9" s="781">
        <f>O9*(((1-(2*C46))/(1-C46))^P9)</f>
        <v>1.7480854161388584</v>
      </c>
      <c r="T9" s="781">
        <f>O9*(((1-(2*C47))/(1-C47))^P9)</f>
        <v>2.0788600237514765</v>
      </c>
      <c r="U9" s="781">
        <v>0.14149792510075376</v>
      </c>
      <c r="V9" s="781">
        <v>0.18927668251186436</v>
      </c>
      <c r="W9" s="1362">
        <f t="shared" si="0"/>
        <v>1.8895833412396121</v>
      </c>
      <c r="X9" s="736">
        <f t="shared" si="2"/>
        <v>1.0485595181446294</v>
      </c>
      <c r="Y9" s="736">
        <f t="shared" si="3"/>
        <v>7.3816516712990221E-2</v>
      </c>
      <c r="Z9" s="736"/>
      <c r="AA9" s="736"/>
      <c r="AB9" s="905">
        <v>26.026516007821876</v>
      </c>
      <c r="AC9" s="736">
        <v>1.8295425571199784</v>
      </c>
      <c r="AD9" s="910">
        <v>3.6590851142399567</v>
      </c>
      <c r="AE9" s="570"/>
      <c r="AF9" s="570"/>
      <c r="AG9" s="916">
        <v>7.6127768971800333E-2</v>
      </c>
      <c r="AH9" s="917">
        <v>1.1204412059813876E-3</v>
      </c>
      <c r="AI9" s="918">
        <v>2.2408824119627751E-3</v>
      </c>
      <c r="AJ9" s="737" t="s">
        <v>475</v>
      </c>
      <c r="AL9" s="79" t="s">
        <v>1352</v>
      </c>
      <c r="AM9" s="82">
        <v>15.479022582666436</v>
      </c>
      <c r="AN9" s="82">
        <v>0.21289467704956577</v>
      </c>
      <c r="AO9" s="82">
        <v>2.8501073472940903</v>
      </c>
      <c r="AP9" s="82">
        <v>14.267560194923295</v>
      </c>
      <c r="AQ9" s="82">
        <v>0.25992927855245412</v>
      </c>
      <c r="AR9" s="85">
        <v>3.2337914168021351</v>
      </c>
      <c r="AS9" s="82">
        <v>7.7051788411660489</v>
      </c>
      <c r="AT9" s="82">
        <v>2.6801655298747774E-2</v>
      </c>
      <c r="AU9" s="82">
        <v>4.0812158051888189E-2</v>
      </c>
      <c r="AV9" s="82">
        <v>0.12834245558363133</v>
      </c>
      <c r="AW9" s="82">
        <v>1.251315505263831E-2</v>
      </c>
      <c r="AX9" s="82">
        <v>3.4350093725653806E-2</v>
      </c>
      <c r="AY9" s="82">
        <v>0.27787924665880448</v>
      </c>
      <c r="AZ9" s="82">
        <v>0.54997747937071417</v>
      </c>
      <c r="BA9" s="82">
        <v>5.4532781278158103E-2</v>
      </c>
      <c r="BB9" s="82">
        <v>1.1814077724458374E-2</v>
      </c>
      <c r="BC9" s="82">
        <v>1.2942299197832725E-2</v>
      </c>
      <c r="BD9" s="82">
        <v>9.4087630331603465E-3</v>
      </c>
      <c r="BE9" s="82">
        <v>2.6379433933344924E-3</v>
      </c>
      <c r="BF9" s="82">
        <v>2.6195491689931755E-2</v>
      </c>
      <c r="BG9" s="82">
        <v>1.6853181288911276</v>
      </c>
      <c r="BH9" s="82">
        <v>1.2728235543190934E-2</v>
      </c>
      <c r="BI9" s="82"/>
      <c r="BJ9" s="82"/>
      <c r="BK9" s="82">
        <v>3.7366805338326079E-3</v>
      </c>
      <c r="BL9" s="1393">
        <v>3.7182272748766286E-3</v>
      </c>
      <c r="BM9" s="82">
        <v>0</v>
      </c>
      <c r="BN9" s="82">
        <v>0</v>
      </c>
      <c r="BO9" s="1393">
        <v>5.3168285592596091E-3</v>
      </c>
      <c r="BP9" s="82">
        <v>1.0342219359618262E-2</v>
      </c>
      <c r="BQ9" s="798"/>
      <c r="BR9" s="798"/>
      <c r="BS9" s="74"/>
      <c r="BT9" s="74"/>
      <c r="BU9" s="74"/>
      <c r="BV9" s="74"/>
      <c r="BW9" s="74"/>
    </row>
    <row r="10" spans="1:75">
      <c r="A10" s="739" t="s">
        <v>839</v>
      </c>
      <c r="B10" s="739" t="s">
        <v>9</v>
      </c>
      <c r="C10" s="1470">
        <f>AVERAGE(AT56:AT60)</f>
        <v>120.89449973841116</v>
      </c>
      <c r="D10" s="1439">
        <f>STDEV(AT56:AT60)</f>
        <v>5.7799795879130986</v>
      </c>
      <c r="E10" s="1470">
        <v>11.559959175826197</v>
      </c>
      <c r="F10" s="1470">
        <f>AVERAGE(AT61:AT67)</f>
        <v>152.2912622999344</v>
      </c>
      <c r="G10" s="1439">
        <f>STDEV(AT61:AT67)</f>
        <v>6.5259374553040708</v>
      </c>
      <c r="H10" s="1470">
        <v>13.051874910608142</v>
      </c>
      <c r="I10" s="1470">
        <f>AVERAGE(AT68:AT72)</f>
        <v>996.61690412047233</v>
      </c>
      <c r="J10" s="1439">
        <f>STDEV(AT68:AT72)</f>
        <v>72.421576055872421</v>
      </c>
      <c r="K10" s="1470">
        <v>144.84315211174484</v>
      </c>
      <c r="L10" s="929">
        <v>0.12130488579772</v>
      </c>
      <c r="M10" s="780">
        <v>1.0551684624888568E-2</v>
      </c>
      <c r="N10" s="1521">
        <v>2.1103369249777137E-2</v>
      </c>
      <c r="O10" s="741">
        <v>0.77</v>
      </c>
      <c r="P10" s="741">
        <v>1.39</v>
      </c>
      <c r="Q10" s="778">
        <v>0.43598039100000002</v>
      </c>
      <c r="R10" s="780">
        <f t="shared" si="1"/>
        <v>0.22701199737897756</v>
      </c>
      <c r="S10" s="1358">
        <f>O10*(((1-(2*C47))/(1-C47))^P10)</f>
        <v>7.5958249877325565E-2</v>
      </c>
      <c r="T10" s="1358">
        <f>O10*(((1-(2*C46))/(1-C46))^P10)</f>
        <v>0.12071400650257623</v>
      </c>
      <c r="U10" s="1358">
        <v>2.2080681971642702E-2</v>
      </c>
      <c r="V10" s="1358">
        <v>2.2675074653607963E-2</v>
      </c>
      <c r="W10" s="923">
        <f t="shared" si="0"/>
        <v>9.8038931848968267E-2</v>
      </c>
      <c r="X10" s="741">
        <f t="shared" si="2"/>
        <v>1.237313417332959</v>
      </c>
      <c r="Y10" s="741">
        <f t="shared" si="3"/>
        <v>0.10762749477058497</v>
      </c>
      <c r="Z10" s="741"/>
      <c r="AA10" s="741"/>
      <c r="AB10" s="1523">
        <v>0.79383740020692728</v>
      </c>
      <c r="AC10" s="780">
        <v>5.096704345325595E-2</v>
      </c>
      <c r="AD10" s="910">
        <v>0.1019340869065119</v>
      </c>
      <c r="AE10" s="570"/>
      <c r="AF10" s="570"/>
      <c r="AG10" s="919">
        <v>0.15280822718367743</v>
      </c>
      <c r="AH10" s="910">
        <v>1.2891093080307154E-2</v>
      </c>
      <c r="AI10" s="906">
        <v>2.5782186160614309E-2</v>
      </c>
      <c r="AJ10" s="739" t="s">
        <v>9</v>
      </c>
      <c r="AL10" s="195" t="s">
        <v>220</v>
      </c>
      <c r="AM10" s="196"/>
      <c r="AN10" s="197">
        <v>137.7899379401845</v>
      </c>
      <c r="AO10" s="198"/>
      <c r="AP10" s="199" t="s">
        <v>221</v>
      </c>
      <c r="AQ10" s="197">
        <v>406.64252010656503</v>
      </c>
      <c r="AR10" s="200">
        <v>459</v>
      </c>
      <c r="AS10" s="201" t="s">
        <v>222</v>
      </c>
      <c r="AT10" s="197">
        <v>389.18950517473058</v>
      </c>
      <c r="AU10" s="197"/>
      <c r="AV10" s="197"/>
      <c r="AW10" s="197">
        <v>418.61262151126516</v>
      </c>
      <c r="AX10" s="197">
        <v>359.00120628551008</v>
      </c>
      <c r="AY10" s="197">
        <v>302.2351813852132</v>
      </c>
      <c r="AZ10" s="197">
        <v>414.79964356118666</v>
      </c>
      <c r="BA10" s="197">
        <v>219.08496470015331</v>
      </c>
      <c r="BB10" s="197">
        <v>365.30300671279917</v>
      </c>
      <c r="BC10" s="197">
        <v>297.42732571692397</v>
      </c>
      <c r="BD10" s="198">
        <v>9.8172326429867111E-3</v>
      </c>
      <c r="BE10" s="196">
        <v>1.0177743970383362</v>
      </c>
      <c r="BF10" s="196">
        <v>9.4762117708886837</v>
      </c>
      <c r="BG10" s="197"/>
      <c r="BH10" s="196">
        <v>6.1180603108890717</v>
      </c>
      <c r="BI10" s="198"/>
      <c r="BJ10" s="198"/>
      <c r="BK10" s="197">
        <v>362.82187804504349</v>
      </c>
      <c r="BL10" s="197">
        <v>40.189681719622321</v>
      </c>
      <c r="BM10" s="198">
        <v>5.0511046545371086E-2</v>
      </c>
      <c r="BN10" s="198">
        <v>0.23543726592027722</v>
      </c>
      <c r="BO10" s="196">
        <v>3.2481079693692219</v>
      </c>
      <c r="BP10" s="197">
        <v>25.995594212945647</v>
      </c>
      <c r="BQ10" s="198"/>
      <c r="BR10" s="198"/>
      <c r="BS10" s="202"/>
      <c r="BT10" s="203">
        <v>44.8090019226075</v>
      </c>
      <c r="BU10" s="204">
        <v>3.5913839394056009</v>
      </c>
      <c r="BV10" s="202"/>
      <c r="BW10" s="202" t="s">
        <v>223</v>
      </c>
    </row>
    <row r="11" spans="1:75" ht="17" thickBot="1">
      <c r="A11" s="739" t="s">
        <v>313</v>
      </c>
      <c r="B11" s="739" t="s">
        <v>468</v>
      </c>
      <c r="C11" s="1470">
        <f>AVERAGE(AU56:AU60)</f>
        <v>41.70526158909334</v>
      </c>
      <c r="D11" s="740">
        <f>STDEV(AU56:AU60)</f>
        <v>7.0611817333384339</v>
      </c>
      <c r="E11" s="1470">
        <v>14.122363466676868</v>
      </c>
      <c r="F11" s="1470">
        <f>AVERAGE(AU61:AU67)</f>
        <v>261.75738265556134</v>
      </c>
      <c r="G11" s="1439">
        <f>STDEV(AU61:AU67)</f>
        <v>23.575074105559224</v>
      </c>
      <c r="H11" s="1470">
        <v>47.150148211118449</v>
      </c>
      <c r="I11" s="1470">
        <f>AVERAGE(AU68:AU72)</f>
        <v>260.03861826732918</v>
      </c>
      <c r="J11" s="1439">
        <f>STDEV(AU68:AU72)</f>
        <v>18.323731812601256</v>
      </c>
      <c r="K11" s="1470">
        <v>36.647463625202512</v>
      </c>
      <c r="L11" s="929">
        <v>0.16038103058299905</v>
      </c>
      <c r="M11" s="780">
        <v>2.9412224259053696E-2</v>
      </c>
      <c r="N11" s="1521">
        <v>5.8824448518107392E-2</v>
      </c>
      <c r="O11" s="741">
        <v>0.66</v>
      </c>
      <c r="P11" s="741">
        <v>0.99</v>
      </c>
      <c r="Q11" s="778">
        <v>0.43598039100000002</v>
      </c>
      <c r="R11" s="780">
        <f t="shared" si="1"/>
        <v>0.22701199737897756</v>
      </c>
      <c r="S11" s="1358">
        <f>O11*(((1-(2*C47))/(1-C47))^P11)</f>
        <v>0.12679447380797676</v>
      </c>
      <c r="T11" s="1358">
        <f>O11*(((1-(2*C46))/(1-C46))^P11)</f>
        <v>0.17635538850616511</v>
      </c>
      <c r="U11" s="1358">
        <v>2.5271573483414328E-2</v>
      </c>
      <c r="V11" s="1358">
        <v>2.4289341214774024E-2</v>
      </c>
      <c r="W11" s="923">
        <f t="shared" si="0"/>
        <v>0.15206604729139109</v>
      </c>
      <c r="X11" s="741">
        <f t="shared" si="2"/>
        <v>1.0546800777669632</v>
      </c>
      <c r="Y11" s="741">
        <f t="shared" si="3"/>
        <v>0.1934174313263603</v>
      </c>
      <c r="Z11" s="741"/>
      <c r="AA11" s="741"/>
      <c r="AB11" s="1523">
        <v>0.15932792865663711</v>
      </c>
      <c r="AC11" s="780">
        <v>3.0555269926372284E-2</v>
      </c>
      <c r="AD11" s="910">
        <v>6.1110539852744568E-2</v>
      </c>
      <c r="AE11" s="570"/>
      <c r="AF11" s="570"/>
      <c r="AG11" s="919">
        <v>1.0066096505191595</v>
      </c>
      <c r="AH11" s="910">
        <v>0.11511059306053684</v>
      </c>
      <c r="AI11" s="906">
        <v>0.23022118612107367</v>
      </c>
      <c r="AJ11" s="739" t="s">
        <v>468</v>
      </c>
      <c r="AL11" s="195" t="s">
        <v>224</v>
      </c>
      <c r="AM11" s="196"/>
      <c r="AN11" s="197">
        <v>143.63584544906232</v>
      </c>
      <c r="AO11" s="198"/>
      <c r="AP11" s="199" t="s">
        <v>225</v>
      </c>
      <c r="AQ11" s="197">
        <v>415.87622302993799</v>
      </c>
      <c r="AR11" s="200">
        <v>459</v>
      </c>
      <c r="AS11" s="201" t="s">
        <v>226</v>
      </c>
      <c r="AT11" s="197">
        <v>386.75762769732609</v>
      </c>
      <c r="AU11" s="197"/>
      <c r="AV11" s="197"/>
      <c r="AW11" s="197">
        <v>429.72148239394841</v>
      </c>
      <c r="AX11" s="197">
        <v>375.78297827847155</v>
      </c>
      <c r="AY11" s="197">
        <v>322.50173109530749</v>
      </c>
      <c r="AZ11" s="197">
        <v>451.95396803565967</v>
      </c>
      <c r="BA11" s="197">
        <v>238.10838011100833</v>
      </c>
      <c r="BB11" s="197">
        <v>393.41947409198451</v>
      </c>
      <c r="BC11" s="197">
        <v>321.38212329195682</v>
      </c>
      <c r="BD11" s="198">
        <v>3.1563653712440957E-3</v>
      </c>
      <c r="BE11" s="196">
        <v>1.1761068168659861</v>
      </c>
      <c r="BF11" s="196">
        <v>7.3782044556484143</v>
      </c>
      <c r="BG11" s="197"/>
      <c r="BH11" s="196">
        <v>6.09110067974534</v>
      </c>
      <c r="BI11" s="198"/>
      <c r="BJ11" s="198"/>
      <c r="BK11" s="197">
        <v>397.07271276035891</v>
      </c>
      <c r="BL11" s="197">
        <v>44.351682230524574</v>
      </c>
      <c r="BM11" s="198">
        <v>4.3190191474670188E-2</v>
      </c>
      <c r="BN11" s="198">
        <v>0.20263763447978506</v>
      </c>
      <c r="BO11" s="196">
        <v>2.9695046454207974</v>
      </c>
      <c r="BP11" s="197">
        <v>27.684697802278116</v>
      </c>
      <c r="BQ11" s="198"/>
      <c r="BR11" s="198"/>
      <c r="BS11" s="202"/>
      <c r="BT11" s="203">
        <v>41.4140014648438</v>
      </c>
      <c r="BU11" s="204">
        <v>2.9998207800350989</v>
      </c>
      <c r="BV11" s="202"/>
      <c r="BW11" s="202" t="s">
        <v>227</v>
      </c>
    </row>
    <row r="12" spans="1:75">
      <c r="A12" s="435" t="s">
        <v>313</v>
      </c>
      <c r="B12" s="890" t="s">
        <v>461</v>
      </c>
      <c r="C12" s="434">
        <f>AVERAGE(AV56:AV60)</f>
        <v>30.256505033986219</v>
      </c>
      <c r="D12" s="434">
        <f>STDEV(AV56:AV60)</f>
        <v>8.1266002056810134</v>
      </c>
      <c r="E12" s="434">
        <v>16.253200411362027</v>
      </c>
      <c r="F12" s="434">
        <f>AVERAGE(AV61:AV67)</f>
        <v>192.30468224887954</v>
      </c>
      <c r="G12" s="434">
        <f>STDEV(AV61:AV67)</f>
        <v>19.174912960320771</v>
      </c>
      <c r="H12" s="434">
        <v>38.349825920641543</v>
      </c>
      <c r="I12" s="434">
        <f>AVERAGE(AV68:AV72)</f>
        <v>196.87105515566131</v>
      </c>
      <c r="J12" s="434">
        <f>STDEV(AV68:AV72)</f>
        <v>16.29628694968477</v>
      </c>
      <c r="K12" s="434">
        <v>32.59257389936954</v>
      </c>
      <c r="L12" s="1323">
        <v>0.15368691456478004</v>
      </c>
      <c r="M12" s="571">
        <v>4.3194670889591572E-2</v>
      </c>
      <c r="N12" s="1343">
        <v>8.6389341779183143E-2</v>
      </c>
      <c r="O12" s="433">
        <v>0.66</v>
      </c>
      <c r="P12" s="433">
        <v>0.99</v>
      </c>
      <c r="Q12" s="778">
        <v>0.43598039100000002</v>
      </c>
      <c r="R12" s="570">
        <f t="shared" si="1"/>
        <v>0.22701199737897756</v>
      </c>
      <c r="S12" s="800">
        <f>O12*(((1-(2*C47))/(1-C47))^P12)</f>
        <v>0.12679447380797676</v>
      </c>
      <c r="T12" s="800">
        <f>O12*(((1-(2*C46))/(1-C46))^P12)</f>
        <v>0.17635538850616511</v>
      </c>
      <c r="U12" s="800">
        <v>2.5271573483414328E-2</v>
      </c>
      <c r="V12" s="800">
        <v>2.4289341214774024E-2</v>
      </c>
      <c r="W12" s="888">
        <f t="shared" si="0"/>
        <v>0.15206604729139109</v>
      </c>
      <c r="X12" s="433">
        <f t="shared" si="2"/>
        <v>1.0106589689300138</v>
      </c>
      <c r="Y12" s="433">
        <f t="shared" si="3"/>
        <v>0.28405203961684716</v>
      </c>
      <c r="Z12" s="433"/>
      <c r="AA12" s="433"/>
      <c r="AB12" s="885">
        <v>0.15733628885243905</v>
      </c>
      <c r="AC12" s="570">
        <v>4.5077050265288091E-2</v>
      </c>
      <c r="AD12" s="910">
        <v>9.0154100530576181E-2</v>
      </c>
      <c r="AE12" s="570"/>
      <c r="AF12" s="570"/>
      <c r="AG12" s="919">
        <v>0.97680526015786706</v>
      </c>
      <c r="AH12" s="910">
        <v>0.12658674726997343</v>
      </c>
      <c r="AI12" s="906">
        <v>0.25317349453994686</v>
      </c>
      <c r="AJ12" s="890" t="s">
        <v>461</v>
      </c>
      <c r="AL12" s="177" t="s">
        <v>206</v>
      </c>
      <c r="AM12" s="178"/>
      <c r="AN12" s="179">
        <v>28.067143730911383</v>
      </c>
      <c r="AO12" s="181"/>
      <c r="AP12" s="179">
        <v>969635.68700598227</v>
      </c>
      <c r="AQ12" s="179">
        <v>4699.0458973579152</v>
      </c>
      <c r="AR12" s="180">
        <v>55500</v>
      </c>
      <c r="AS12" s="179">
        <v>55223.819367944947</v>
      </c>
      <c r="AT12" s="179">
        <v>147.99149286441244</v>
      </c>
      <c r="AU12" s="273"/>
      <c r="AV12" s="179"/>
      <c r="AW12" s="179">
        <v>58.427949252348327</v>
      </c>
      <c r="AX12" s="179">
        <v>59.253736186307819</v>
      </c>
      <c r="AY12" s="179">
        <v>182.081343532452</v>
      </c>
      <c r="AZ12" s="179">
        <v>180.70933835812798</v>
      </c>
      <c r="BA12" s="178">
        <v>4.430224972291664</v>
      </c>
      <c r="BB12" s="178">
        <v>6.9109232179113143</v>
      </c>
      <c r="BC12" s="178">
        <v>6.6972600458794629</v>
      </c>
      <c r="BD12" s="179">
        <v>20.64962177385361</v>
      </c>
      <c r="BE12" s="178">
        <v>2.1679091092679537</v>
      </c>
      <c r="BF12" s="178">
        <v>1.4626532501058076</v>
      </c>
      <c r="BG12" s="181"/>
      <c r="BH12" s="178">
        <v>1.56161891406617</v>
      </c>
      <c r="BI12" s="181"/>
      <c r="BJ12" s="181"/>
      <c r="BK12" s="178">
        <v>3.1481186031651194</v>
      </c>
      <c r="BL12" s="178">
        <v>1.1628485091691685</v>
      </c>
      <c r="BM12" s="179">
        <v>9.9734577649424843</v>
      </c>
      <c r="BN12" s="179">
        <v>16.175142805911683</v>
      </c>
      <c r="BO12" s="179">
        <v>31.546285061641065</v>
      </c>
      <c r="BP12" s="181">
        <v>0.71731950470619865</v>
      </c>
      <c r="BQ12" s="181"/>
      <c r="BR12" s="181"/>
      <c r="BS12" s="182"/>
      <c r="BT12" s="183">
        <v>44.130002975463896</v>
      </c>
      <c r="BU12" s="184">
        <v>1.0270484185171378</v>
      </c>
      <c r="BV12" s="182"/>
      <c r="BW12" s="185" t="s">
        <v>228</v>
      </c>
    </row>
    <row r="13" spans="1:75" ht="17" thickBot="1">
      <c r="A13" s="435" t="s">
        <v>313</v>
      </c>
      <c r="B13" s="435" t="s">
        <v>457</v>
      </c>
      <c r="C13" s="1453">
        <f>AVERAGE(AW56:AW60)</f>
        <v>157.87069282642784</v>
      </c>
      <c r="D13" s="1440">
        <f>STDEV(AW56:AW60)</f>
        <v>14.544105956073176</v>
      </c>
      <c r="E13" s="1453">
        <v>29.088211912146352</v>
      </c>
      <c r="F13" s="1554">
        <f>AVERAGE(AW61:AW67)</f>
        <v>0.66392434539046463</v>
      </c>
      <c r="G13" s="405">
        <f>STDEV(AW61:AW67)</f>
        <v>0.98742789398098685</v>
      </c>
      <c r="H13" s="1554">
        <v>1.9748557879619737</v>
      </c>
      <c r="I13" s="1440">
        <f>AVERAGE(AW68:AW72)</f>
        <v>3.5635333895341623</v>
      </c>
      <c r="J13" s="1440">
        <f>STDEV(AW68:AW72)</f>
        <v>0.44172698531783766</v>
      </c>
      <c r="K13" s="1440">
        <v>0.88345397063567532</v>
      </c>
      <c r="L13" s="1463">
        <v>44.301729651273241</v>
      </c>
      <c r="M13" s="433">
        <v>6.8421165501787886</v>
      </c>
      <c r="N13" s="1516">
        <v>13.684233100357577</v>
      </c>
      <c r="O13" s="433">
        <v>0.76</v>
      </c>
      <c r="P13" s="433">
        <v>-2.81</v>
      </c>
      <c r="Q13" s="778">
        <v>0.43598039100000002</v>
      </c>
      <c r="R13" s="570">
        <f t="shared" si="1"/>
        <v>0.22701199737897756</v>
      </c>
      <c r="S13" s="570" cm="1">
        <f t="array" ref="S13:S22">O13:O22*(((1-(2*C46))/(1-C46))^P13:P22)</f>
        <v>32.184595352452043</v>
      </c>
      <c r="T13" s="570" cm="1">
        <f t="array" ref="T13:T22">O13:O22*(((1-(2*C47))/(1-C47))^P13:P22)</f>
        <v>82.102343847918576</v>
      </c>
      <c r="U13" s="570">
        <v>16.828985954188759</v>
      </c>
      <c r="V13" s="570">
        <v>33.088762541277774</v>
      </c>
      <c r="W13" s="888">
        <f t="shared" si="0"/>
        <v>49.013581306640802</v>
      </c>
      <c r="X13" s="721">
        <f t="shared" si="2"/>
        <v>0.90386640743737789</v>
      </c>
      <c r="Y13" s="433">
        <f t="shared" si="3"/>
        <v>0.13959633978535163</v>
      </c>
      <c r="Z13" s="433"/>
      <c r="AA13" s="433"/>
      <c r="AB13" s="857">
        <v>237.78416008164535</v>
      </c>
      <c r="AC13" s="406">
        <v>354.3246188576245</v>
      </c>
      <c r="AD13" s="909">
        <v>708.649237715249</v>
      </c>
      <c r="AE13" s="573">
        <f>AVERAGE(AW61:AW67)/I13</f>
        <v>0.18631068459758565</v>
      </c>
      <c r="AF13" s="570"/>
      <c r="AG13" s="912">
        <v>0.18631068459758565</v>
      </c>
      <c r="AH13" s="909">
        <v>0.27805312479116207</v>
      </c>
      <c r="AI13" s="904">
        <v>0.55610624958232413</v>
      </c>
      <c r="AJ13" s="435" t="s">
        <v>457</v>
      </c>
      <c r="AL13" s="186" t="s">
        <v>207</v>
      </c>
      <c r="AM13" s="188"/>
      <c r="AN13" s="188">
        <v>18.270876392430601</v>
      </c>
      <c r="AO13" s="190"/>
      <c r="AP13" s="188">
        <v>921477.95218744734</v>
      </c>
      <c r="AQ13" s="188">
        <v>4584.8739151254877</v>
      </c>
      <c r="AR13" s="189">
        <v>55500</v>
      </c>
      <c r="AS13" s="188">
        <v>55776.894319644001</v>
      </c>
      <c r="AT13" s="188">
        <v>144.64950987515877</v>
      </c>
      <c r="AU13" s="274"/>
      <c r="AV13" s="274"/>
      <c r="AW13" s="188">
        <v>58.625964028335922</v>
      </c>
      <c r="AX13" s="188">
        <v>57.805973896285295</v>
      </c>
      <c r="AY13" s="188">
        <v>175.14659865113552</v>
      </c>
      <c r="AZ13" s="188">
        <v>176.53205987610184</v>
      </c>
      <c r="BA13" s="187">
        <v>4.2490660871116734</v>
      </c>
      <c r="BB13" s="187">
        <v>6.0063503741202453</v>
      </c>
      <c r="BC13" s="187">
        <v>6.2188857376664526</v>
      </c>
      <c r="BD13" s="188">
        <v>19.716764964935354</v>
      </c>
      <c r="BE13" s="187">
        <v>2.0708336253208448</v>
      </c>
      <c r="BF13" s="187">
        <v>1.4232253246987232</v>
      </c>
      <c r="BG13" s="190"/>
      <c r="BH13" s="187">
        <v>1.3266878143149192</v>
      </c>
      <c r="BI13" s="190"/>
      <c r="BJ13" s="190"/>
      <c r="BK13" s="187">
        <v>2.6065150631492457</v>
      </c>
      <c r="BL13" s="187">
        <v>1.137992883963121</v>
      </c>
      <c r="BM13" s="187">
        <v>9.0833849392115393</v>
      </c>
      <c r="BN13" s="188">
        <v>14.31133496977322</v>
      </c>
      <c r="BO13" s="188">
        <v>29.215384861491181</v>
      </c>
      <c r="BP13" s="190">
        <v>0.61621106011929849</v>
      </c>
      <c r="BQ13" s="190"/>
      <c r="BR13" s="190"/>
      <c r="BS13" s="191"/>
      <c r="BT13" s="192">
        <v>44.130002975463896</v>
      </c>
      <c r="BU13" s="193">
        <v>1.243279649966486</v>
      </c>
      <c r="BV13" s="191"/>
      <c r="BW13" s="194" t="s">
        <v>229</v>
      </c>
    </row>
    <row r="14" spans="1:75">
      <c r="A14" s="435" t="s">
        <v>313</v>
      </c>
      <c r="B14" s="435" t="s">
        <v>832</v>
      </c>
      <c r="C14" s="434">
        <f>AVERAGE(AX56:AX60)</f>
        <v>193.82375236477429</v>
      </c>
      <c r="D14" s="434">
        <f>STDEV(AX56:AX60)</f>
        <v>10.607731544928837</v>
      </c>
      <c r="E14" s="434">
        <v>21.215463089857675</v>
      </c>
      <c r="F14" s="807">
        <f>AVERAGE(AX61:AX67)</f>
        <v>0.99965703631218439</v>
      </c>
      <c r="G14" s="405">
        <f>STDEV(AX61:AX67)</f>
        <v>1.3602213393565732</v>
      </c>
      <c r="H14" s="405">
        <v>2.7204426787131464</v>
      </c>
      <c r="I14" s="434">
        <f>AVERAGE(AX68:AX72)</f>
        <v>3.753726992461341</v>
      </c>
      <c r="J14" s="434">
        <f>STDEV(AX68:AX72)</f>
        <v>0.41635808315568601</v>
      </c>
      <c r="K14" s="434">
        <v>0.83271616631137202</v>
      </c>
      <c r="L14" s="1323">
        <v>51.63501574675864</v>
      </c>
      <c r="M14" s="571">
        <v>6.3865163888791754</v>
      </c>
      <c r="N14" s="1343">
        <v>12.773032777758351</v>
      </c>
      <c r="O14" s="433">
        <v>0.76</v>
      </c>
      <c r="P14" s="433">
        <v>-2.81</v>
      </c>
      <c r="Q14" s="778">
        <v>0.43598039100000002</v>
      </c>
      <c r="R14" s="570">
        <f t="shared" si="1"/>
        <v>0.22701199737897756</v>
      </c>
      <c r="S14" s="570">
        <v>32.184595352452043</v>
      </c>
      <c r="T14" s="570">
        <v>82.102343847918576</v>
      </c>
      <c r="U14" s="570">
        <v>16.828985954188759</v>
      </c>
      <c r="V14" s="570">
        <v>33.088762541277774</v>
      </c>
      <c r="W14" s="888">
        <f t="shared" si="0"/>
        <v>49.013581306640802</v>
      </c>
      <c r="X14" s="721">
        <f t="shared" si="2"/>
        <v>1.0534838379533524</v>
      </c>
      <c r="Y14" s="433">
        <f t="shared" si="3"/>
        <v>0.13030095370757722</v>
      </c>
      <c r="Z14" s="433"/>
      <c r="AA14" s="433"/>
      <c r="AB14" s="857">
        <v>193.89024967983599</v>
      </c>
      <c r="AC14" s="406">
        <v>264.03745295770761</v>
      </c>
      <c r="AD14" s="909">
        <v>528.07490591541523</v>
      </c>
      <c r="AE14" s="570"/>
      <c r="AF14" s="570"/>
      <c r="AG14" s="912">
        <v>0.26631053305682822</v>
      </c>
      <c r="AH14" s="909">
        <v>0.36356750468601012</v>
      </c>
      <c r="AI14" s="904">
        <v>0.72713500937202025</v>
      </c>
      <c r="AJ14" s="435" t="s">
        <v>832</v>
      </c>
      <c r="AL14" s="211" t="s">
        <v>230</v>
      </c>
      <c r="AM14" s="117"/>
      <c r="AN14" s="116">
        <v>112.17728880331863</v>
      </c>
      <c r="AO14" s="117"/>
      <c r="AP14" s="116">
        <v>891283.50816083152</v>
      </c>
      <c r="AQ14" s="116">
        <v>4339.1859706033511</v>
      </c>
      <c r="AR14" s="118">
        <v>56500</v>
      </c>
      <c r="AS14" s="116">
        <v>56098.254099647129</v>
      </c>
      <c r="AT14" s="116">
        <v>138.51698492273098</v>
      </c>
      <c r="AU14" s="275"/>
      <c r="AV14" s="115"/>
      <c r="AW14" s="116">
        <v>53.418623103570816</v>
      </c>
      <c r="AX14" s="116">
        <v>54.381904978299524</v>
      </c>
      <c r="AY14" s="116">
        <v>164.45149375921289</v>
      </c>
      <c r="AZ14" s="116">
        <v>160.05177096672915</v>
      </c>
      <c r="BA14" s="119">
        <v>4.5872058503576207</v>
      </c>
      <c r="BB14" s="119">
        <v>7.2760414684798054</v>
      </c>
      <c r="BC14" s="119">
        <v>6.286837753040631</v>
      </c>
      <c r="BD14" s="116">
        <v>14.799309520250219</v>
      </c>
      <c r="BE14" s="119">
        <v>1.9606263909309527</v>
      </c>
      <c r="BF14" s="119">
        <v>1.2437687150297696</v>
      </c>
      <c r="BG14" s="117"/>
      <c r="BH14" s="119">
        <v>1.668414049743612</v>
      </c>
      <c r="BI14" s="117"/>
      <c r="BJ14" s="117"/>
      <c r="BK14" s="119">
        <v>2.2429743847498824</v>
      </c>
      <c r="BL14" s="117">
        <v>0.15503684578317875</v>
      </c>
      <c r="BM14" s="117">
        <v>0.77331440796143669</v>
      </c>
      <c r="BN14" s="119">
        <v>2.9868903663254542</v>
      </c>
      <c r="BO14" s="116">
        <v>21.89652156365786</v>
      </c>
      <c r="BP14" s="117">
        <v>0.72488676773908944</v>
      </c>
      <c r="BQ14" s="117"/>
      <c r="BR14" s="117"/>
      <c r="BS14" s="114"/>
      <c r="BT14" s="120">
        <v>46.845001220703196</v>
      </c>
      <c r="BU14" s="121">
        <v>1.262328477669479</v>
      </c>
      <c r="BV14" s="114"/>
      <c r="BW14" s="114" t="s">
        <v>231</v>
      </c>
    </row>
    <row r="15" spans="1:75">
      <c r="A15" s="435" t="s">
        <v>313</v>
      </c>
      <c r="B15" s="435" t="s">
        <v>453</v>
      </c>
      <c r="C15" s="1467">
        <f>AVERAGE(AY56:AY60)</f>
        <v>329.84571734015003</v>
      </c>
      <c r="D15" s="720">
        <f>STDEV(AY56:AY60)</f>
        <v>46.343485365057717</v>
      </c>
      <c r="E15" s="1467">
        <v>92.686970730115434</v>
      </c>
      <c r="F15" s="1453">
        <f>AVERAGE(AY61:AY67)</f>
        <v>18.644214923689628</v>
      </c>
      <c r="G15" s="434">
        <f>STDEV(AY61:AY67)</f>
        <v>5.007163443867741</v>
      </c>
      <c r="H15" s="1453">
        <v>10.014326887735482</v>
      </c>
      <c r="I15" s="1467">
        <f>AVERAGE(AY68:AY72)</f>
        <v>17.808437951506839</v>
      </c>
      <c r="J15" s="720">
        <f>STDEV(AY68:AY72)</f>
        <v>2.0220309743318161</v>
      </c>
      <c r="K15" s="1467">
        <v>4.0440619486636322</v>
      </c>
      <c r="L15" s="878">
        <v>18.521878125320953</v>
      </c>
      <c r="M15" s="721">
        <v>3.3458785522504</v>
      </c>
      <c r="N15" s="1436">
        <v>6.6917571045008</v>
      </c>
      <c r="O15" s="433">
        <v>0.63</v>
      </c>
      <c r="P15" s="433">
        <v>-3.23</v>
      </c>
      <c r="Q15" s="778">
        <v>0.43598039100000002</v>
      </c>
      <c r="R15" s="570">
        <f t="shared" si="1"/>
        <v>0.22701199737897756</v>
      </c>
      <c r="S15" s="570">
        <v>46.701600301793079</v>
      </c>
      <c r="T15" s="570">
        <v>137.03398473426614</v>
      </c>
      <c r="U15" s="570">
        <v>29.034492030393309</v>
      </c>
      <c r="V15" s="570">
        <v>61.297892402079754</v>
      </c>
      <c r="W15" s="888">
        <f t="shared" si="0"/>
        <v>75.736092332186388</v>
      </c>
      <c r="X15" s="721">
        <f t="shared" si="2"/>
        <v>0.2445581433497</v>
      </c>
      <c r="Y15" s="433">
        <f t="shared" si="3"/>
        <v>4.4178124976068593E-2</v>
      </c>
      <c r="Z15" s="433"/>
      <c r="AA15" s="433"/>
      <c r="AB15" s="907">
        <v>17.691585228458344</v>
      </c>
      <c r="AC15" s="433">
        <v>5.362242352596132</v>
      </c>
      <c r="AD15" s="910">
        <v>10.724484705192264</v>
      </c>
      <c r="AE15" s="570"/>
      <c r="AF15" s="570"/>
      <c r="AG15" s="919">
        <v>1.0469315149626623</v>
      </c>
      <c r="AH15" s="910">
        <v>0.30526391632219974</v>
      </c>
      <c r="AI15" s="906">
        <v>0.61052783264439947</v>
      </c>
      <c r="AJ15" s="435" t="s">
        <v>453</v>
      </c>
      <c r="AL15" s="205" t="s">
        <v>232</v>
      </c>
      <c r="AM15" s="154"/>
      <c r="AN15" s="153" t="s">
        <v>233</v>
      </c>
      <c r="AO15" s="154"/>
      <c r="AP15" s="155">
        <v>888707.04499954195</v>
      </c>
      <c r="AQ15" s="155">
        <v>533.7894768470652</v>
      </c>
      <c r="AR15" s="156">
        <v>154100</v>
      </c>
      <c r="AS15" s="155">
        <v>162854.3544067684</v>
      </c>
      <c r="AT15" s="155">
        <v>110.25945356277524</v>
      </c>
      <c r="AU15" s="155"/>
      <c r="AV15" s="155"/>
      <c r="AW15" s="155">
        <v>179.96520706748888</v>
      </c>
      <c r="AX15" s="155">
        <v>170.82388341814396</v>
      </c>
      <c r="AY15" s="155">
        <v>211.38688989133377</v>
      </c>
      <c r="AZ15" s="155">
        <v>220.98601699654026</v>
      </c>
      <c r="BA15" s="155">
        <v>73.081404866917168</v>
      </c>
      <c r="BB15" s="155">
        <v>310.61610861728082</v>
      </c>
      <c r="BC15" s="155">
        <v>254.65329260702282</v>
      </c>
      <c r="BD15" s="155">
        <v>134.88650542288778</v>
      </c>
      <c r="BE15" s="155">
        <v>254.72716190436242</v>
      </c>
      <c r="BF15" s="155">
        <v>152.95648127870041</v>
      </c>
      <c r="BG15" s="154"/>
      <c r="BH15" s="155">
        <v>180.4186139524497</v>
      </c>
      <c r="BI15" s="154"/>
      <c r="BJ15" s="154"/>
      <c r="BK15" s="155">
        <v>293.02126010047544</v>
      </c>
      <c r="BL15" s="155">
        <v>23.212393622655792</v>
      </c>
      <c r="BM15" s="155">
        <v>16.997083291042372</v>
      </c>
      <c r="BN15" s="271">
        <v>9.1928451153848343</v>
      </c>
      <c r="BO15" s="155">
        <v>120.92241064182954</v>
      </c>
      <c r="BP15" s="155">
        <v>438.0164190321558</v>
      </c>
      <c r="BQ15" s="154"/>
      <c r="BR15" s="154"/>
      <c r="BS15" s="157"/>
      <c r="BT15" s="158">
        <v>40.735000610351591</v>
      </c>
      <c r="BU15" s="159">
        <v>0.92597041451056872</v>
      </c>
      <c r="BV15" s="157"/>
      <c r="BW15" s="157" t="s">
        <v>234</v>
      </c>
    </row>
    <row r="16" spans="1:75">
      <c r="A16" s="435" t="s">
        <v>313</v>
      </c>
      <c r="B16" s="435" t="s">
        <v>449</v>
      </c>
      <c r="C16" s="720">
        <f>AVERAGE(AZ56:AZ60)</f>
        <v>278.44639272196861</v>
      </c>
      <c r="D16" s="720">
        <f>STDEV(AZ56:AZ60)</f>
        <v>50.557407988696497</v>
      </c>
      <c r="E16" s="720">
        <v>101.11481597739299</v>
      </c>
      <c r="F16" s="434">
        <f>AVERAGE(AZ61:AZ67)</f>
        <v>4.0406814461465954</v>
      </c>
      <c r="G16" s="434">
        <f>STDEV(AZ61:AZ67)</f>
        <v>0.8443324280014789</v>
      </c>
      <c r="H16" s="434">
        <v>1.6886648560029578</v>
      </c>
      <c r="I16" s="720">
        <f>AVERAGE(AZ68:AZ72)</f>
        <v>4.900870686868009</v>
      </c>
      <c r="J16" s="720">
        <v>0</v>
      </c>
      <c r="K16" s="720">
        <v>0</v>
      </c>
      <c r="L16" s="1323">
        <v>56.815698783498178</v>
      </c>
      <c r="M16" s="571">
        <v>10.316005301704081</v>
      </c>
      <c r="N16" s="1343">
        <v>20.632010603408162</v>
      </c>
      <c r="O16" s="433">
        <v>0.63</v>
      </c>
      <c r="P16" s="433">
        <v>-3.23</v>
      </c>
      <c r="Q16" s="778">
        <v>0.43598039100000002</v>
      </c>
      <c r="R16" s="570">
        <f t="shared" si="1"/>
        <v>0.22701199737897756</v>
      </c>
      <c r="S16" s="570">
        <v>46.701600301793079</v>
      </c>
      <c r="T16" s="570">
        <v>137.03398473426614</v>
      </c>
      <c r="U16" s="570">
        <v>29.034492030393309</v>
      </c>
      <c r="V16" s="570">
        <v>61.297892402079754</v>
      </c>
      <c r="W16" s="888">
        <f t="shared" si="0"/>
        <v>75.736092332186388</v>
      </c>
      <c r="X16" s="721">
        <f t="shared" si="2"/>
        <v>0.75017996088705774</v>
      </c>
      <c r="Y16" s="433">
        <f t="shared" si="3"/>
        <v>0.13620989655047169</v>
      </c>
      <c r="Z16" s="433"/>
      <c r="AA16" s="433"/>
      <c r="AB16" s="907">
        <v>68.91075092977438</v>
      </c>
      <c r="AC16" s="433">
        <v>19.076077414600093</v>
      </c>
      <c r="AD16" s="910">
        <v>38.152154829200185</v>
      </c>
      <c r="AE16" s="570"/>
      <c r="AF16" s="570"/>
      <c r="AG16" s="919">
        <v>0.82448236330203328</v>
      </c>
      <c r="AH16" s="910">
        <v>0.17228212739093202</v>
      </c>
      <c r="AI16" s="906">
        <v>0.34456425478186403</v>
      </c>
      <c r="AJ16" s="435" t="s">
        <v>449</v>
      </c>
      <c r="AL16" s="205" t="s">
        <v>244</v>
      </c>
      <c r="AM16" s="155"/>
      <c r="AN16" s="209" t="s">
        <v>245</v>
      </c>
      <c r="AO16" s="210"/>
      <c r="AP16" s="155">
        <v>864999.78077811387</v>
      </c>
      <c r="AQ16" s="155">
        <v>499.08994692128806</v>
      </c>
      <c r="AR16" s="156">
        <v>154100</v>
      </c>
      <c r="AS16" s="155">
        <v>145610.18142165971</v>
      </c>
      <c r="AT16" s="155">
        <v>113.47853428256313</v>
      </c>
      <c r="AU16" s="155"/>
      <c r="AV16" s="155"/>
      <c r="AW16" s="155">
        <v>167.67136314691695</v>
      </c>
      <c r="AX16" s="155">
        <v>181.69133012381633</v>
      </c>
      <c r="AY16" s="155">
        <v>306.91741844360223</v>
      </c>
      <c r="AZ16" s="155">
        <v>351.72253642103499</v>
      </c>
      <c r="BA16" s="155">
        <v>73.040638208406435</v>
      </c>
      <c r="BB16" s="155">
        <v>298.46144487613435</v>
      </c>
      <c r="BC16" s="155">
        <v>248.0914596381339</v>
      </c>
      <c r="BD16" s="155">
        <v>197.39209961537145</v>
      </c>
      <c r="BE16" s="155">
        <v>250.81624446927901</v>
      </c>
      <c r="BF16" s="155">
        <v>151.22306998166079</v>
      </c>
      <c r="BG16" s="155"/>
      <c r="BH16" s="155">
        <v>148.98135245858705</v>
      </c>
      <c r="BI16" s="154"/>
      <c r="BJ16" s="154"/>
      <c r="BK16" s="155">
        <v>302.76498066669228</v>
      </c>
      <c r="BL16" s="155">
        <v>99.800029750464333</v>
      </c>
      <c r="BM16" s="155">
        <v>73.902401876414729</v>
      </c>
      <c r="BN16" s="155">
        <v>90.130764152167345</v>
      </c>
      <c r="BO16" s="155">
        <v>270.94335322855875</v>
      </c>
      <c r="BP16" s="155">
        <v>349.35415169389995</v>
      </c>
      <c r="BQ16" s="154"/>
      <c r="BR16" s="154"/>
      <c r="BS16" s="157"/>
      <c r="BT16" s="158">
        <v>41.413999557495096</v>
      </c>
      <c r="BU16" s="159">
        <v>0.65155190940815033</v>
      </c>
      <c r="BV16" s="157"/>
      <c r="BW16" s="157" t="s">
        <v>246</v>
      </c>
    </row>
    <row r="17" spans="1:75" ht="17" thickBot="1">
      <c r="A17" s="435" t="s">
        <v>313</v>
      </c>
      <c r="B17" s="435" t="s">
        <v>13</v>
      </c>
      <c r="C17" s="1453">
        <f>AVERAGE(BA56:BA60)</f>
        <v>94.454826196316517</v>
      </c>
      <c r="D17" s="434">
        <f>STDEV(BA56:BA60)</f>
        <v>7.0888026377819271</v>
      </c>
      <c r="E17" s="1453">
        <v>14.177605275563854</v>
      </c>
      <c r="F17" s="405" t="e">
        <f>AVERAGE(BA61:BA67)</f>
        <v>#DIV/0!</v>
      </c>
      <c r="G17" s="405" t="e">
        <f>STDEV(BA61:BA67)</f>
        <v>#DIV/0!</v>
      </c>
      <c r="H17" s="405" t="e">
        <v>#DIV/0!</v>
      </c>
      <c r="I17" s="1466">
        <f>AVERAGE(BA68:BA72)</f>
        <v>12.311125983436572</v>
      </c>
      <c r="J17" s="720">
        <f>STDEV(BA68:BA72)</f>
        <v>0.84429161353797721</v>
      </c>
      <c r="K17" s="1466">
        <v>1.6885832270759544</v>
      </c>
      <c r="L17" s="878">
        <v>7.6723141590295105</v>
      </c>
      <c r="M17" s="721">
        <v>0.77999961112487659</v>
      </c>
      <c r="N17" s="1436">
        <v>1.5599992222497532</v>
      </c>
      <c r="O17" s="433">
        <v>0.23</v>
      </c>
      <c r="P17" s="433">
        <v>-2</v>
      </c>
      <c r="Q17" s="778">
        <v>0.43598039100000002</v>
      </c>
      <c r="R17" s="570">
        <f t="shared" si="1"/>
        <v>0.22701199737897756</v>
      </c>
      <c r="S17" s="570">
        <v>3.3083932956805135</v>
      </c>
      <c r="T17" s="570">
        <v>6.4430079010289294</v>
      </c>
      <c r="U17" s="570">
        <v>1.1546409191880613</v>
      </c>
      <c r="V17" s="570">
        <v>1.9799736861603545</v>
      </c>
      <c r="W17" s="888">
        <f t="shared" si="0"/>
        <v>4.4630342148685749</v>
      </c>
      <c r="X17" s="721">
        <f t="shared" si="2"/>
        <v>1.7190802914907612</v>
      </c>
      <c r="Y17" s="433">
        <f t="shared" si="3"/>
        <v>0.17476890688543503</v>
      </c>
      <c r="Z17" s="433"/>
      <c r="AA17" s="433"/>
      <c r="AB17" s="857" t="e">
        <v>#DIV/0!</v>
      </c>
      <c r="AC17" s="406" t="e">
        <v>#DIV/0!</v>
      </c>
      <c r="AD17" s="909" t="e">
        <v>#DIV/0!</v>
      </c>
      <c r="AE17" s="570">
        <f>AVERAGE(0.34,0.53,0.36,0.32,0.31,0.35,0.62)/I17</f>
        <v>3.2839052644708662E-2</v>
      </c>
      <c r="AF17" s="570"/>
      <c r="AG17" s="912" t="e">
        <v>#DIV/0!</v>
      </c>
      <c r="AH17" s="909" t="e">
        <v>#DIV/0!</v>
      </c>
      <c r="AI17" s="904" t="e">
        <v>#DIV/0!</v>
      </c>
      <c r="AJ17" s="435" t="s">
        <v>13</v>
      </c>
      <c r="AL17" s="205" t="s">
        <v>247</v>
      </c>
      <c r="AM17" s="155"/>
      <c r="AN17" s="272" t="s">
        <v>248</v>
      </c>
      <c r="AO17" s="155"/>
      <c r="AP17" s="155">
        <v>828570.88473270042</v>
      </c>
      <c r="AQ17" s="155">
        <v>467.13284076464663</v>
      </c>
      <c r="AR17" s="156">
        <v>154100</v>
      </c>
      <c r="AS17" s="155">
        <v>148829.34781576262</v>
      </c>
      <c r="AT17" s="155">
        <v>106.28130114987468</v>
      </c>
      <c r="AU17" s="155"/>
      <c r="AV17" s="155"/>
      <c r="AW17" s="155">
        <v>154.88444258967527</v>
      </c>
      <c r="AX17" s="155">
        <v>161.37042912945026</v>
      </c>
      <c r="AY17" s="155">
        <v>235.76822131115571</v>
      </c>
      <c r="AZ17" s="155">
        <v>271.51597154071771</v>
      </c>
      <c r="BA17" s="155">
        <v>68.523752208046858</v>
      </c>
      <c r="BB17" s="155">
        <v>301.88413326915679</v>
      </c>
      <c r="BC17" s="155">
        <v>251.39356123247282</v>
      </c>
      <c r="BD17" s="155">
        <v>155.99605597391036</v>
      </c>
      <c r="BE17" s="155">
        <v>230.85167266347332</v>
      </c>
      <c r="BF17" s="155">
        <v>154.66229686004021</v>
      </c>
      <c r="BG17" s="155"/>
      <c r="BH17" s="155">
        <v>150.68226283995745</v>
      </c>
      <c r="BI17" s="154"/>
      <c r="BJ17" s="154"/>
      <c r="BK17" s="155">
        <v>283.18516202193138</v>
      </c>
      <c r="BL17" s="155">
        <v>31.049096505577339</v>
      </c>
      <c r="BM17" s="155">
        <v>30.903487303047264</v>
      </c>
      <c r="BN17" s="155">
        <v>28.390723071307313</v>
      </c>
      <c r="BO17" s="155">
        <v>166.85053135555771</v>
      </c>
      <c r="BP17" s="155">
        <v>383.53548707764156</v>
      </c>
      <c r="BQ17" s="154"/>
      <c r="BR17" s="154"/>
      <c r="BS17" s="157"/>
      <c r="BT17" s="158">
        <v>46.166002273559599</v>
      </c>
      <c r="BU17" s="159">
        <v>0.64135491105831388</v>
      </c>
      <c r="BV17" s="157"/>
      <c r="BW17" s="157" t="s">
        <v>249</v>
      </c>
    </row>
    <row r="18" spans="1:75">
      <c r="A18" s="435" t="s">
        <v>313</v>
      </c>
      <c r="B18" s="435" t="s">
        <v>443</v>
      </c>
      <c r="C18" s="1453">
        <f>AVERAGE(BB56:BB60)</f>
        <v>312.90441818951388</v>
      </c>
      <c r="D18" s="434">
        <f>STDEV(BB56:BB60)</f>
        <v>11.424742271935166</v>
      </c>
      <c r="E18" s="1453">
        <v>22.849484543870332</v>
      </c>
      <c r="F18" s="1453">
        <f>AVERAGE(BB61:BB67)</f>
        <v>170.82691188848253</v>
      </c>
      <c r="G18" s="434">
        <f>STDEV(BB61:BB67)</f>
        <v>12.266972095977737</v>
      </c>
      <c r="H18" s="1453">
        <v>24.533944191955474</v>
      </c>
      <c r="I18" s="1453">
        <f>AVERAGE(BB68:BB72)</f>
        <v>92.910558252078303</v>
      </c>
      <c r="J18" s="434">
        <f>STDEV(BB68:BB72)</f>
        <v>10.883664995730546</v>
      </c>
      <c r="K18" s="1453">
        <v>21.767329991461093</v>
      </c>
      <c r="L18" s="1463">
        <v>3.3678025842936377</v>
      </c>
      <c r="M18" s="433">
        <v>0.41322825615639258</v>
      </c>
      <c r="N18" s="1519">
        <v>0.82645651231278516</v>
      </c>
      <c r="O18" s="433">
        <v>0.67</v>
      </c>
      <c r="P18" s="433">
        <v>-1.33</v>
      </c>
      <c r="Q18" s="778">
        <v>0.43598039100000002</v>
      </c>
      <c r="R18" s="570">
        <f t="shared" si="1"/>
        <v>0.22701199737897756</v>
      </c>
      <c r="S18" s="570">
        <v>3.9452196229881995</v>
      </c>
      <c r="T18" s="570">
        <v>6.1456773122779538</v>
      </c>
      <c r="U18" s="570">
        <v>0.86904419472392647</v>
      </c>
      <c r="V18" s="570">
        <v>1.3314134945658278</v>
      </c>
      <c r="W18" s="888">
        <f t="shared" si="0"/>
        <v>4.814263817712126</v>
      </c>
      <c r="X18" s="433">
        <f t="shared" si="2"/>
        <v>0.69954674521640825</v>
      </c>
      <c r="Y18" s="433">
        <f t="shared" si="3"/>
        <v>8.5834152801532657E-2</v>
      </c>
      <c r="Z18" s="433"/>
      <c r="AA18" s="433"/>
      <c r="AB18" s="863">
        <v>1.8317044705097809</v>
      </c>
      <c r="AC18" s="433">
        <v>0.14755974637900446</v>
      </c>
      <c r="AD18" s="910">
        <v>0.29511949275800892</v>
      </c>
      <c r="AE18" s="570"/>
      <c r="AF18" s="570"/>
      <c r="AG18" s="919">
        <v>1.8386167848115511</v>
      </c>
      <c r="AH18" s="910">
        <v>0.25262536191459378</v>
      </c>
      <c r="AI18" s="906">
        <v>0.50525072382918756</v>
      </c>
      <c r="AJ18" s="435" t="s">
        <v>443</v>
      </c>
      <c r="AL18" s="584" t="s">
        <v>1144</v>
      </c>
      <c r="AM18" s="585"/>
      <c r="AN18" s="586" t="s">
        <v>1145</v>
      </c>
      <c r="AO18" s="585"/>
      <c r="AP18" s="587">
        <v>830743.91335177724</v>
      </c>
      <c r="AQ18" s="587">
        <v>478.54673567134711</v>
      </c>
      <c r="AR18" s="588">
        <v>154100</v>
      </c>
      <c r="AS18" s="587">
        <v>155354.07349685754</v>
      </c>
      <c r="AT18" s="587">
        <v>104.33712394066661</v>
      </c>
      <c r="AU18" s="587"/>
      <c r="AV18" s="585"/>
      <c r="AW18" s="587">
        <v>153.29407801948426</v>
      </c>
      <c r="AX18" s="587">
        <v>163.13038790710573</v>
      </c>
      <c r="AY18" s="587">
        <v>246.06886427792031</v>
      </c>
      <c r="AZ18" s="587">
        <v>250.28791300129265</v>
      </c>
      <c r="BA18" s="587">
        <v>64.9151764185833</v>
      </c>
      <c r="BB18" s="587">
        <v>298.14216054709789</v>
      </c>
      <c r="BC18" s="587">
        <v>268.56157367172358</v>
      </c>
      <c r="BD18" s="587">
        <v>151.15417780290809</v>
      </c>
      <c r="BE18" s="587">
        <v>216.62270440204267</v>
      </c>
      <c r="BF18" s="587">
        <v>157.74989247110693</v>
      </c>
      <c r="BG18" s="585"/>
      <c r="BH18" s="587">
        <v>153.7325617602213</v>
      </c>
      <c r="BI18" s="585"/>
      <c r="BJ18" s="585"/>
      <c r="BK18" s="587">
        <v>277.80085448137271</v>
      </c>
      <c r="BL18" s="587">
        <v>51.98120591320555</v>
      </c>
      <c r="BM18" s="587">
        <v>38.576797611521371</v>
      </c>
      <c r="BN18" s="587">
        <v>39.492808453810014</v>
      </c>
      <c r="BO18" s="587">
        <v>167.61363689625907</v>
      </c>
      <c r="BP18" s="587">
        <v>353.69641466740643</v>
      </c>
      <c r="BQ18" s="585"/>
      <c r="BR18" s="585"/>
      <c r="BS18" s="589"/>
      <c r="BT18" s="590">
        <v>39.377002716064496</v>
      </c>
      <c r="BU18" s="591">
        <v>0.59166148530463269</v>
      </c>
      <c r="BV18" s="589"/>
      <c r="BW18" s="592" t="s">
        <v>1146</v>
      </c>
    </row>
    <row r="19" spans="1:75">
      <c r="A19" s="435" t="s">
        <v>313</v>
      </c>
      <c r="B19" s="435" t="s">
        <v>831</v>
      </c>
      <c r="C19" s="434">
        <f>AVERAGE(BC56:BC60)</f>
        <v>307.34511981934492</v>
      </c>
      <c r="D19" s="434">
        <f>STDEV(BC56:BC60)</f>
        <v>12.741883261207599</v>
      </c>
      <c r="E19" s="434">
        <v>25.483766522415198</v>
      </c>
      <c r="F19" s="434">
        <f>AVERAGE(BC61:BC67)</f>
        <v>170.59518357398852</v>
      </c>
      <c r="G19" s="434">
        <f>STDEV(BC61:BC67)</f>
        <v>12.336724332692778</v>
      </c>
      <c r="H19" s="434">
        <v>24.673448665385557</v>
      </c>
      <c r="I19" s="434">
        <f>AVERAGE(BC68:BC72)</f>
        <v>93.852294672680074</v>
      </c>
      <c r="J19" s="434">
        <f>STDEV(BC68:BC72)</f>
        <v>11.7465545320294</v>
      </c>
      <c r="K19" s="434">
        <v>23.4931090640588</v>
      </c>
      <c r="L19" s="1323">
        <v>3.2747746966789029</v>
      </c>
      <c r="M19" s="571">
        <v>0.43177114705432179</v>
      </c>
      <c r="N19" s="1343">
        <v>0.86354229410864358</v>
      </c>
      <c r="O19" s="433">
        <v>0.67</v>
      </c>
      <c r="P19" s="433">
        <v>-1.33</v>
      </c>
      <c r="Q19" s="778">
        <v>0.43598039100000002</v>
      </c>
      <c r="R19" s="570">
        <f t="shared" si="1"/>
        <v>0.22701199737897756</v>
      </c>
      <c r="S19" s="570">
        <v>3.9452196229881995</v>
      </c>
      <c r="T19" s="570">
        <v>6.1456773122779538</v>
      </c>
      <c r="U19" s="570">
        <v>0.86904419472392647</v>
      </c>
      <c r="V19" s="570">
        <v>1.3314134945658278</v>
      </c>
      <c r="W19" s="888">
        <f t="shared" si="0"/>
        <v>4.814263817712126</v>
      </c>
      <c r="X19" s="433">
        <f t="shared" si="2"/>
        <v>0.68022335723079841</v>
      </c>
      <c r="Y19" s="433">
        <f t="shared" si="3"/>
        <v>8.9685809378745596E-2</v>
      </c>
      <c r="Z19" s="433"/>
      <c r="AA19" s="433"/>
      <c r="AB19" s="863">
        <v>1.8016049068937918</v>
      </c>
      <c r="AC19" s="433">
        <v>0.15017573774172335</v>
      </c>
      <c r="AD19" s="910">
        <v>0.30035147548344671</v>
      </c>
      <c r="AE19" s="570"/>
      <c r="AF19" s="570"/>
      <c r="AG19" s="919">
        <v>1.8176985887128012</v>
      </c>
      <c r="AH19" s="910">
        <v>0.26274769702435657</v>
      </c>
      <c r="AI19" s="906">
        <v>0.52549539404871315</v>
      </c>
      <c r="AJ19" s="435" t="s">
        <v>831</v>
      </c>
      <c r="AL19" s="593" t="s">
        <v>1147</v>
      </c>
      <c r="AM19" s="213"/>
      <c r="AN19" s="212" t="s">
        <v>1148</v>
      </c>
      <c r="AO19" s="213"/>
      <c r="AP19" s="214">
        <v>929736.20389317814</v>
      </c>
      <c r="AQ19" s="214">
        <v>510.58609082246818</v>
      </c>
      <c r="AR19" s="215">
        <v>154100</v>
      </c>
      <c r="AS19" s="214">
        <v>157017.82245694069</v>
      </c>
      <c r="AT19" s="214">
        <v>116.19132640054204</v>
      </c>
      <c r="AU19" s="214"/>
      <c r="AV19" s="213"/>
      <c r="AW19" s="214">
        <v>169.61837037310636</v>
      </c>
      <c r="AX19" s="214">
        <v>164.2266558700413</v>
      </c>
      <c r="AY19" s="214">
        <v>275.41554232845237</v>
      </c>
      <c r="AZ19" s="214">
        <v>296.0121930321011</v>
      </c>
      <c r="BA19" s="214">
        <v>71.228290466776059</v>
      </c>
      <c r="BB19" s="214">
        <v>311.20984790677232</v>
      </c>
      <c r="BC19" s="214">
        <v>280.32437440830751</v>
      </c>
      <c r="BD19" s="214">
        <v>177.88236831028593</v>
      </c>
      <c r="BE19" s="214">
        <v>240.92058920500418</v>
      </c>
      <c r="BF19" s="214">
        <v>169.50146049788933</v>
      </c>
      <c r="BG19" s="213"/>
      <c r="BH19" s="214">
        <v>156.36623962671669</v>
      </c>
      <c r="BI19" s="213"/>
      <c r="BJ19" s="213"/>
      <c r="BK19" s="214">
        <v>307.90189627561767</v>
      </c>
      <c r="BL19" s="214">
        <v>77.388756238461028</v>
      </c>
      <c r="BM19" s="214">
        <v>38.755307339462853</v>
      </c>
      <c r="BN19" s="214">
        <v>54.830342834233861</v>
      </c>
      <c r="BO19" s="214">
        <v>201.80864316478872</v>
      </c>
      <c r="BP19" s="214">
        <v>372.32796807995146</v>
      </c>
      <c r="BQ19" s="213"/>
      <c r="BR19" s="213"/>
      <c r="BS19" s="216"/>
      <c r="BT19" s="217">
        <v>45.488002777099595</v>
      </c>
      <c r="BU19" s="218">
        <v>0.68016053906196128</v>
      </c>
      <c r="BV19" s="216"/>
      <c r="BW19" s="594" t="s">
        <v>1149</v>
      </c>
    </row>
    <row r="20" spans="1:75">
      <c r="A20" s="672" t="s">
        <v>270</v>
      </c>
      <c r="B20" s="672" t="s">
        <v>440</v>
      </c>
      <c r="C20" s="1457">
        <f>AVERAGE(BD15:BD19)</f>
        <v>163.4622414250727</v>
      </c>
      <c r="D20" s="673">
        <f>STDEV(BD15:BD19)</f>
        <v>24.407890013192407</v>
      </c>
      <c r="E20" s="1457">
        <v>48.815780026384815</v>
      </c>
      <c r="F20" s="673">
        <f>AVERAGE(BD20:BD26)</f>
        <v>7.5877278202928902E-2</v>
      </c>
      <c r="G20" s="673">
        <f>STDEV(BD20:BD26)</f>
        <v>2.6651273908553264E-2</v>
      </c>
      <c r="H20" s="673">
        <v>5.3302547817106527E-2</v>
      </c>
      <c r="I20" s="1456">
        <f>AVERAGE(BD27:BD31)</f>
        <v>1.0644510304817367</v>
      </c>
      <c r="J20" s="673">
        <f>STDEV(BD27:BD31)</f>
        <v>0.11163387665001102</v>
      </c>
      <c r="K20" s="1456">
        <v>0.22326775330002205</v>
      </c>
      <c r="L20" s="1499">
        <v>153.56482989273343</v>
      </c>
      <c r="M20" s="732">
        <v>28.020684202715149</v>
      </c>
      <c r="N20" s="1517">
        <v>56.041368405430298</v>
      </c>
      <c r="O20" s="732">
        <v>1.18</v>
      </c>
      <c r="P20" s="732">
        <v>-3.89</v>
      </c>
      <c r="Q20" s="779">
        <v>0.43598039100000002</v>
      </c>
      <c r="R20" s="749">
        <f t="shared" si="1"/>
        <v>0.22701199737897756</v>
      </c>
      <c r="S20" s="749">
        <v>210.85149669840553</v>
      </c>
      <c r="T20" s="749">
        <v>770.90137018099767</v>
      </c>
      <c r="U20" s="749">
        <v>166.59216510548481</v>
      </c>
      <c r="V20" s="749">
        <v>393.45770837710734</v>
      </c>
      <c r="W20" s="889">
        <f t="shared" si="0"/>
        <v>377.44366180389034</v>
      </c>
      <c r="X20" s="732">
        <f t="shared" si="2"/>
        <v>0.40685497051086161</v>
      </c>
      <c r="Y20" s="732">
        <f t="shared" si="3"/>
        <v>7.4238057327013607E-2</v>
      </c>
      <c r="Z20" s="732"/>
      <c r="AA20" s="732"/>
      <c r="AB20" s="877">
        <v>2154.2976408287004</v>
      </c>
      <c r="AC20" s="732">
        <v>822.2159979708116</v>
      </c>
      <c r="AD20" s="927">
        <v>1644.4319959416232</v>
      </c>
      <c r="AE20" s="749"/>
      <c r="AF20" s="749"/>
      <c r="AG20" s="928">
        <v>7.1283014464826308E-2</v>
      </c>
      <c r="AH20" s="927">
        <v>2.6129819736470751E-2</v>
      </c>
      <c r="AI20" s="926">
        <v>5.2259639472941502E-2</v>
      </c>
      <c r="AJ20" s="672" t="s">
        <v>440</v>
      </c>
      <c r="AL20" s="206" t="s">
        <v>235</v>
      </c>
      <c r="AM20" s="133"/>
      <c r="AN20" s="131">
        <v>65.88665827305573</v>
      </c>
      <c r="AO20" s="133"/>
      <c r="AP20" s="131">
        <v>598198.04319457489</v>
      </c>
      <c r="AQ20" s="131">
        <v>28.334334213311088</v>
      </c>
      <c r="AR20" s="132">
        <v>6200</v>
      </c>
      <c r="AS20" s="131">
        <v>5746.3250216751785</v>
      </c>
      <c r="AT20" s="131">
        <v>139.78098542382074</v>
      </c>
      <c r="AU20" s="131"/>
      <c r="AV20" s="131"/>
      <c r="AW20" s="133">
        <v>0.16288569738644643</v>
      </c>
      <c r="AX20" s="133">
        <v>0.18707117288654845</v>
      </c>
      <c r="AY20" s="131">
        <v>16.906865104355568</v>
      </c>
      <c r="AZ20" s="135">
        <v>3.3655894259393708</v>
      </c>
      <c r="BA20" s="134" t="s">
        <v>120</v>
      </c>
      <c r="BB20" s="131">
        <v>169.49981923496927</v>
      </c>
      <c r="BC20" s="131">
        <v>136.18150302910101</v>
      </c>
      <c r="BD20" s="134" t="s">
        <v>108</v>
      </c>
      <c r="BE20" s="133">
        <v>5.0375144789093183E-2</v>
      </c>
      <c r="BF20" s="133">
        <v>0.66503112414047671</v>
      </c>
      <c r="BG20" s="133"/>
      <c r="BH20" s="133">
        <v>0.70108534616014961</v>
      </c>
      <c r="BI20" s="133"/>
      <c r="BJ20" s="133"/>
      <c r="BK20" s="133">
        <v>0.84627043288663129</v>
      </c>
      <c r="BL20" s="134" t="s">
        <v>214</v>
      </c>
      <c r="BM20" s="131"/>
      <c r="BN20" s="131"/>
      <c r="BO20" s="134" t="s">
        <v>58</v>
      </c>
      <c r="BP20" s="135">
        <v>1.5423767458210951</v>
      </c>
      <c r="BQ20" s="133"/>
      <c r="BR20" s="133"/>
      <c r="BS20" s="136"/>
      <c r="BT20" s="137">
        <v>46.166000366210895</v>
      </c>
      <c r="BU20" s="138">
        <v>2.6844125534626371</v>
      </c>
      <c r="BV20" s="136"/>
      <c r="BW20" s="136" t="s">
        <v>236</v>
      </c>
    </row>
    <row r="21" spans="1:75">
      <c r="A21" s="672" t="s">
        <v>270</v>
      </c>
      <c r="B21" s="672" t="s">
        <v>16</v>
      </c>
      <c r="C21" s="1457">
        <f>AVERAGE(BE15:BE19)</f>
        <v>238.78767452883235</v>
      </c>
      <c r="D21" s="673">
        <f>STDEV(BE15:BE19)</f>
        <v>15.47230674423815</v>
      </c>
      <c r="E21" s="1457">
        <v>30.9446134884763</v>
      </c>
      <c r="F21" s="673">
        <f>AVERAGE(BE20:BE26)</f>
        <v>4.8686483981182804E-2</v>
      </c>
      <c r="G21" s="673">
        <f>STDEV(BE20:BE26)</f>
        <v>1.9023662670969881E-2</v>
      </c>
      <c r="H21" s="673">
        <v>3.8047325341939761E-2</v>
      </c>
      <c r="I21" s="1456">
        <f>AVERAGE(BE27:BE31)</f>
        <v>3.256986045202138</v>
      </c>
      <c r="J21" s="673">
        <f>STDEV(BE27:BE31)</f>
        <v>0.50475128500944122</v>
      </c>
      <c r="K21" s="1456">
        <v>1.0095025700188824</v>
      </c>
      <c r="L21" s="1499">
        <v>73.315535042156597</v>
      </c>
      <c r="M21" s="732">
        <v>12.315190557115157</v>
      </c>
      <c r="N21" s="1517">
        <v>24.630381114230314</v>
      </c>
      <c r="O21" s="732">
        <v>0.97</v>
      </c>
      <c r="P21" s="732">
        <v>-2.66</v>
      </c>
      <c r="Q21" s="779">
        <v>0.43598039100000002</v>
      </c>
      <c r="R21" s="749">
        <f t="shared" si="1"/>
        <v>0.22701199737897756</v>
      </c>
      <c r="S21" s="749">
        <v>33.632914095350444</v>
      </c>
      <c r="T21" s="749">
        <v>81.613430915233977</v>
      </c>
      <c r="U21" s="749">
        <v>16.449113134179889</v>
      </c>
      <c r="V21" s="749">
        <v>31.531403685703644</v>
      </c>
      <c r="W21" s="889">
        <f t="shared" si="0"/>
        <v>50.082027229530333</v>
      </c>
      <c r="X21" s="732">
        <f t="shared" si="2"/>
        <v>1.4639090926999632</v>
      </c>
      <c r="Y21" s="732">
        <f t="shared" si="3"/>
        <v>0.24590040057031951</v>
      </c>
      <c r="Z21" s="732"/>
      <c r="AA21" s="732"/>
      <c r="AB21" s="877">
        <v>4904.5988743225562</v>
      </c>
      <c r="AC21" s="732">
        <v>1942.5843934347679</v>
      </c>
      <c r="AD21" s="927">
        <v>3885.1687868695358</v>
      </c>
      <c r="AE21" s="749"/>
      <c r="AF21" s="749"/>
      <c r="AG21" s="1526">
        <v>1.4948324403447415E-2</v>
      </c>
      <c r="AH21" s="1527">
        <v>6.283516667844301E-3</v>
      </c>
      <c r="AI21" s="1528">
        <v>1.2567033335688602E-2</v>
      </c>
      <c r="AJ21" s="672" t="s">
        <v>16</v>
      </c>
      <c r="AL21" s="206" t="s">
        <v>237</v>
      </c>
      <c r="AM21" s="133"/>
      <c r="AN21" s="131">
        <v>60.918534125287266</v>
      </c>
      <c r="AO21" s="133"/>
      <c r="AP21" s="131">
        <v>571562.50361163751</v>
      </c>
      <c r="AQ21" s="131">
        <v>28.074427298556316</v>
      </c>
      <c r="AR21" s="132">
        <v>6200</v>
      </c>
      <c r="AS21" s="131">
        <v>5922.9991678129991</v>
      </c>
      <c r="AT21" s="131">
        <v>133.68832128754187</v>
      </c>
      <c r="AU21" s="131"/>
      <c r="AV21" s="131"/>
      <c r="AW21" s="133">
        <v>0.27771265549410151</v>
      </c>
      <c r="AX21" s="133">
        <v>0.35354449228638213</v>
      </c>
      <c r="AY21" s="131">
        <v>17.183901908200689</v>
      </c>
      <c r="AZ21" s="276" t="s">
        <v>238</v>
      </c>
      <c r="BA21" s="134" t="s">
        <v>72</v>
      </c>
      <c r="BB21" s="131">
        <v>158.54305961376195</v>
      </c>
      <c r="BC21" s="131">
        <v>134.12738528914349</v>
      </c>
      <c r="BD21" s="133">
        <v>0.10038554825503319</v>
      </c>
      <c r="BE21" s="133">
        <v>3.4142463316577096E-2</v>
      </c>
      <c r="BF21" s="133">
        <v>0.17608259800155124</v>
      </c>
      <c r="BG21" s="133"/>
      <c r="BH21" s="133">
        <v>0.21397500549698664</v>
      </c>
      <c r="BI21" s="133"/>
      <c r="BJ21" s="133"/>
      <c r="BK21" s="133">
        <v>0.74078543863246327</v>
      </c>
      <c r="BL21" s="134" t="s">
        <v>239</v>
      </c>
      <c r="BM21" s="131"/>
      <c r="BN21" s="131"/>
      <c r="BO21" s="134" t="s">
        <v>58</v>
      </c>
      <c r="BP21" s="133">
        <v>0.98094534902641606</v>
      </c>
      <c r="BQ21" s="133"/>
      <c r="BR21" s="133"/>
      <c r="BS21" s="136"/>
      <c r="BT21" s="137">
        <v>14.937000274658203</v>
      </c>
      <c r="BU21" s="138">
        <v>2.7541056550487721</v>
      </c>
      <c r="BV21" s="136"/>
      <c r="BW21" s="136" t="s">
        <v>240</v>
      </c>
    </row>
    <row r="22" spans="1:75">
      <c r="A22" s="672" t="s">
        <v>270</v>
      </c>
      <c r="B22" s="672" t="s">
        <v>435</v>
      </c>
      <c r="C22" s="1457">
        <f>AVERAGE(BF15:BF19)</f>
        <v>157.21864021787954</v>
      </c>
      <c r="D22" s="673">
        <f>STDEV(BF15:BF19)</f>
        <v>7.2766347927975072</v>
      </c>
      <c r="E22" s="1457">
        <v>14.553269585595014</v>
      </c>
      <c r="F22" s="802">
        <f>AVERAGE(BF20:BF26)</f>
        <v>0.69504671296314946</v>
      </c>
      <c r="G22" s="802">
        <f>STDEV(BF20:BF26)</f>
        <v>0.82960071131704849</v>
      </c>
      <c r="H22" s="802">
        <v>1.659201422634097</v>
      </c>
      <c r="I22" s="1457">
        <f>AVERAGE(BF27:BF31)</f>
        <v>61.866825851697719</v>
      </c>
      <c r="J22" s="673">
        <f>STDEV(BF27:BF31)</f>
        <v>5.6794343886269161</v>
      </c>
      <c r="K22" s="1457">
        <v>11.358868777253832</v>
      </c>
      <c r="L22" s="1499">
        <v>2.5412430337827852</v>
      </c>
      <c r="M22" s="732">
        <v>0.26126132936192337</v>
      </c>
      <c r="N22" s="1518">
        <v>0.52252265872384673</v>
      </c>
      <c r="O22" s="732">
        <v>0.54</v>
      </c>
      <c r="P22" s="732">
        <v>-0.70699999999999996</v>
      </c>
      <c r="Q22" s="779">
        <v>0.43598039100000002</v>
      </c>
      <c r="R22" s="749">
        <f t="shared" si="1"/>
        <v>0.22701199737897756</v>
      </c>
      <c r="S22" s="749">
        <v>1.3858225567561486</v>
      </c>
      <c r="T22" s="749">
        <v>1.7540251350666236</v>
      </c>
      <c r="U22" s="749">
        <v>0.15469712495772114</v>
      </c>
      <c r="V22" s="749">
        <v>0.21350545335275384</v>
      </c>
      <c r="W22" s="889">
        <f t="shared" si="0"/>
        <v>1.5405196817138698</v>
      </c>
      <c r="X22" s="732">
        <f t="shared" si="2"/>
        <v>1.6496011469036109</v>
      </c>
      <c r="Y22" s="732">
        <f t="shared" si="3"/>
        <v>0.16959298375939158</v>
      </c>
      <c r="Z22" s="732"/>
      <c r="AA22" s="732"/>
      <c r="AB22" s="857">
        <v>226.19866734944918</v>
      </c>
      <c r="AC22" s="406">
        <v>270.19134248684065</v>
      </c>
      <c r="AD22" s="909">
        <v>540.38268497368131</v>
      </c>
      <c r="AE22" s="749"/>
      <c r="AF22" s="749"/>
      <c r="AG22" s="912">
        <v>1.1234562358658268E-2</v>
      </c>
      <c r="AH22" s="909">
        <v>1.34490624453061E-2</v>
      </c>
      <c r="AI22" s="904">
        <v>2.6898124890612201E-2</v>
      </c>
      <c r="AJ22" s="672" t="s">
        <v>435</v>
      </c>
      <c r="AL22" s="206" t="s">
        <v>241</v>
      </c>
      <c r="AM22" s="131"/>
      <c r="AN22" s="131">
        <v>72.858493437414324</v>
      </c>
      <c r="AO22" s="208"/>
      <c r="AP22" s="131">
        <v>628124.87070452888</v>
      </c>
      <c r="AQ22" s="131">
        <v>29.488177241085424</v>
      </c>
      <c r="AR22" s="132">
        <v>6200</v>
      </c>
      <c r="AS22" s="131">
        <v>5821.6872362132899</v>
      </c>
      <c r="AT22" s="131">
        <v>137.51810156406691</v>
      </c>
      <c r="AU22" s="131"/>
      <c r="AV22" s="131"/>
      <c r="AW22" s="133">
        <v>9.2067118892907016E-2</v>
      </c>
      <c r="AX22" s="134" t="s">
        <v>49</v>
      </c>
      <c r="AY22" s="131">
        <v>17.686898989441666</v>
      </c>
      <c r="AZ22" s="135">
        <v>4.9158696255002328</v>
      </c>
      <c r="BA22" s="134" t="s">
        <v>179</v>
      </c>
      <c r="BB22" s="131">
        <v>171.88264038222437</v>
      </c>
      <c r="BC22" s="131">
        <v>145.34937403964969</v>
      </c>
      <c r="BD22" s="133">
        <v>8.0991924489731387E-2</v>
      </c>
      <c r="BE22" s="133">
        <v>3.3007347012480287E-2</v>
      </c>
      <c r="BF22" s="133">
        <v>0.19055601827683116</v>
      </c>
      <c r="BG22" s="133"/>
      <c r="BH22" s="133">
        <v>0.16769665219659946</v>
      </c>
      <c r="BI22" s="133"/>
      <c r="BJ22" s="133"/>
      <c r="BK22" s="135">
        <v>1.0706536390637753</v>
      </c>
      <c r="BL22" s="134" t="s">
        <v>239</v>
      </c>
      <c r="BM22" s="131"/>
      <c r="BN22" s="1398">
        <v>7.8100626837623497E-4</v>
      </c>
      <c r="BO22" s="134" t="s">
        <v>214</v>
      </c>
      <c r="BP22" s="135">
        <v>1.0723842534987271</v>
      </c>
      <c r="BQ22" s="133"/>
      <c r="BR22" s="133"/>
      <c r="BS22" s="136"/>
      <c r="BT22" s="137">
        <v>40.735000610351598</v>
      </c>
      <c r="BU22" s="138">
        <v>2.3989557235292303</v>
      </c>
      <c r="BV22" s="136"/>
      <c r="BW22" s="136" t="s">
        <v>240</v>
      </c>
    </row>
    <row r="23" spans="1:75">
      <c r="A23" s="435" t="s">
        <v>313</v>
      </c>
      <c r="B23" s="435" t="s">
        <v>18</v>
      </c>
      <c r="C23" s="434">
        <f>AVERAGE(BG56:BG60)</f>
        <v>0.31921896961669344</v>
      </c>
      <c r="D23" s="434">
        <f>STDEV(BG56:BG60)</f>
        <v>3.62908819781479E-2</v>
      </c>
      <c r="E23" s="434">
        <v>7.25817639562958E-2</v>
      </c>
      <c r="F23" s="405">
        <f>AVERAGE(BG61:BG67)</f>
        <v>6.1161650006626553</v>
      </c>
      <c r="G23" s="405">
        <f>STDEV(BG61:BG67)</f>
        <v>3.5856171593431196</v>
      </c>
      <c r="H23" s="405">
        <v>7.1712343186862393</v>
      </c>
      <c r="I23" s="1453">
        <f>AVERAGE(BG68:BG72)</f>
        <v>284.78374041766489</v>
      </c>
      <c r="J23" s="434">
        <f>STDEV(BG68:BG72)</f>
        <v>93.762566234936671</v>
      </c>
      <c r="K23" s="1453">
        <v>187.52513246987334</v>
      </c>
      <c r="L23" s="1310">
        <v>1.1209171181912482E-3</v>
      </c>
      <c r="M23" s="1333">
        <v>3.9043402343763106E-4</v>
      </c>
      <c r="N23" s="1438">
        <v>7.8086804687526213E-4</v>
      </c>
      <c r="O23" s="433">
        <v>0.15</v>
      </c>
      <c r="P23" s="433">
        <v>2.88</v>
      </c>
      <c r="Q23" s="778">
        <v>0.43598039100000002</v>
      </c>
      <c r="R23" s="570">
        <f t="shared" si="1"/>
        <v>0.22701199737897756</v>
      </c>
      <c r="S23" s="1373">
        <f>O23*(((1-(2*C47))/(1-C47))^P23)</f>
        <v>1.235639169459271E-3</v>
      </c>
      <c r="T23" s="800">
        <f>O23*(((1-(2*C46))/(1-C46))^P23)</f>
        <v>3.2264925951608326E-3</v>
      </c>
      <c r="U23" s="800">
        <v>8.6094272722867567E-4</v>
      </c>
      <c r="V23" s="800">
        <v>1.1299106984728859E-3</v>
      </c>
      <c r="W23" s="884">
        <f t="shared" si="0"/>
        <v>2.0965818966879467E-3</v>
      </c>
      <c r="X23" s="433">
        <f t="shared" si="2"/>
        <v>0.53464027327623365</v>
      </c>
      <c r="Y23" s="433">
        <f t="shared" si="3"/>
        <v>0.18622407455411835</v>
      </c>
      <c r="Z23" s="433"/>
      <c r="AA23" s="433"/>
      <c r="AB23" s="868">
        <v>5.2192668049685989E-2</v>
      </c>
      <c r="AC23" s="571">
        <v>3.1168097804906248E-2</v>
      </c>
      <c r="AD23" s="909">
        <v>6.2336195609812496E-2</v>
      </c>
      <c r="AE23" s="570"/>
      <c r="AF23" s="570"/>
      <c r="AG23" s="912">
        <v>2.1476524578589583E-2</v>
      </c>
      <c r="AH23" s="909">
        <v>1.4440337414705594E-2</v>
      </c>
      <c r="AI23" s="904">
        <v>2.8880674829411188E-2</v>
      </c>
      <c r="AJ23" s="435" t="s">
        <v>18</v>
      </c>
      <c r="AL23" s="206" t="s">
        <v>242</v>
      </c>
      <c r="AM23" s="131"/>
      <c r="AN23" s="131">
        <v>75.571298744017739</v>
      </c>
      <c r="AO23" s="208"/>
      <c r="AP23" s="131">
        <v>544489.33241319307</v>
      </c>
      <c r="AQ23" s="131">
        <v>26.265832088493564</v>
      </c>
      <c r="AR23" s="132">
        <v>6200</v>
      </c>
      <c r="AS23" s="131">
        <v>5864.6486208138376</v>
      </c>
      <c r="AT23" s="131">
        <v>132.30461671439144</v>
      </c>
      <c r="AU23" s="131"/>
      <c r="AV23" s="131"/>
      <c r="AW23" s="133">
        <v>0.61745458762074401</v>
      </c>
      <c r="AX23" s="133">
        <v>0.70783552771999392</v>
      </c>
      <c r="AY23" s="131">
        <v>13.502697160174902</v>
      </c>
      <c r="AZ23" s="135">
        <v>3.617445355878711</v>
      </c>
      <c r="BA23" s="134" t="s">
        <v>211</v>
      </c>
      <c r="BB23" s="131">
        <v>148.240421033069</v>
      </c>
      <c r="BC23" s="131">
        <v>122.95700111594832</v>
      </c>
      <c r="BD23" s="133">
        <v>8.3584202910641586E-2</v>
      </c>
      <c r="BE23" s="133">
        <v>6.6275374297160558E-2</v>
      </c>
      <c r="BF23" s="135">
        <v>2.31773997011042</v>
      </c>
      <c r="BG23" s="133"/>
      <c r="BH23" s="135">
        <v>2.3056284997788348</v>
      </c>
      <c r="BI23" s="133"/>
      <c r="BJ23" s="133"/>
      <c r="BK23" s="133">
        <v>0.69399600673755557</v>
      </c>
      <c r="BL23" s="134" t="s">
        <v>239</v>
      </c>
      <c r="BM23" s="131"/>
      <c r="BN23" s="1397">
        <v>1.2015380170836865E-3</v>
      </c>
      <c r="BO23" s="1397">
        <v>6.6687244911332608E-3</v>
      </c>
      <c r="BP23" s="135">
        <v>4.622098358209378</v>
      </c>
      <c r="BQ23" s="133"/>
      <c r="BR23" s="133"/>
      <c r="BS23" s="136"/>
      <c r="BT23" s="137">
        <v>22.403999328613203</v>
      </c>
      <c r="BU23" s="138">
        <v>2.764559964815128</v>
      </c>
      <c r="BV23" s="136"/>
      <c r="BW23" s="136" t="s">
        <v>243</v>
      </c>
    </row>
    <row r="24" spans="1:75">
      <c r="A24" s="672" t="s">
        <v>270</v>
      </c>
      <c r="B24" s="672" t="s">
        <v>830</v>
      </c>
      <c r="C24" s="673">
        <f>AVERAGE(BH15:BH19)</f>
        <v>158.03620612758644</v>
      </c>
      <c r="D24" s="673">
        <f>STDEV(BH15:BH19)</f>
        <v>12.829196972510948</v>
      </c>
      <c r="E24" s="673">
        <v>25.658393945021896</v>
      </c>
      <c r="F24" s="405">
        <f>AVERAGE(BH20:BH26)</f>
        <v>0.64206999743317261</v>
      </c>
      <c r="G24" s="405">
        <f>STDEV(BH20:BH26)</f>
        <v>0.77653696552703966</v>
      </c>
      <c r="H24" s="405">
        <v>1.5530739310540793</v>
      </c>
      <c r="I24" s="673">
        <f>AVERAGE(BH27:BH31)</f>
        <v>58.822767687955334</v>
      </c>
      <c r="J24" s="673">
        <f>STDEV(BH27:BH31)</f>
        <v>4.6801486504213097</v>
      </c>
      <c r="K24" s="673">
        <v>9.3602973008426194</v>
      </c>
      <c r="L24" s="1323">
        <v>2.6866502944224138</v>
      </c>
      <c r="M24" s="571">
        <v>0.305385581959153</v>
      </c>
      <c r="N24" s="1343">
        <v>0.61077116391830599</v>
      </c>
      <c r="O24" s="732">
        <v>0.54</v>
      </c>
      <c r="P24" s="732">
        <v>-0.70699999999999996</v>
      </c>
      <c r="Q24" s="779">
        <v>0.43598039100000002</v>
      </c>
      <c r="R24" s="749">
        <f t="shared" si="1"/>
        <v>0.22701199737897756</v>
      </c>
      <c r="S24" s="749" cm="1">
        <f t="array" ref="S24:S32">O24:O32*(((1-(2*C46))/(1-C46))^P24:P32)</f>
        <v>1.3858225567561486</v>
      </c>
      <c r="T24" s="749" cm="1">
        <f t="array" ref="T24:T32">O24:O32*(((1-(2*C47))/(1-C47))^P24:P32)</f>
        <v>1.7540251350666236</v>
      </c>
      <c r="U24" s="749">
        <v>0.15469712495772114</v>
      </c>
      <c r="V24" s="749">
        <v>0.21350545335275384</v>
      </c>
      <c r="W24" s="889">
        <f t="shared" si="0"/>
        <v>1.5405196817138698</v>
      </c>
      <c r="X24" s="732">
        <f t="shared" si="2"/>
        <v>1.7439895941046613</v>
      </c>
      <c r="Y24" s="732">
        <f t="shared" si="3"/>
        <v>0.19823543027986715</v>
      </c>
      <c r="Z24" s="732"/>
      <c r="AA24" s="732"/>
      <c r="AB24" s="857">
        <v>246.13547862285066</v>
      </c>
      <c r="AC24" s="406">
        <v>298.35278631299752</v>
      </c>
      <c r="AD24" s="909">
        <v>596.70557262599505</v>
      </c>
      <c r="AE24" s="749"/>
      <c r="AF24" s="749"/>
      <c r="AG24" s="912">
        <v>1.0915331302315517E-2</v>
      </c>
      <c r="AH24" s="909">
        <v>1.3229834923447422E-2</v>
      </c>
      <c r="AI24" s="904">
        <v>2.6459669846894844E-2</v>
      </c>
      <c r="AJ24" s="672" t="s">
        <v>830</v>
      </c>
      <c r="AL24" s="206" t="s">
        <v>258</v>
      </c>
      <c r="AM24" s="135"/>
      <c r="AN24" s="131">
        <v>84.485997942828604</v>
      </c>
      <c r="AO24" s="133"/>
      <c r="AP24" s="131">
        <v>639458.51766135858</v>
      </c>
      <c r="AQ24" s="131">
        <v>28.635948976766986</v>
      </c>
      <c r="AR24" s="132">
        <v>6200</v>
      </c>
      <c r="AS24" s="131">
        <v>5970.5217507801644</v>
      </c>
      <c r="AT24" s="131">
        <v>145.93893488495334</v>
      </c>
      <c r="AU24" s="131"/>
      <c r="AV24" s="131"/>
      <c r="AW24" s="133">
        <v>0.14453361372544807</v>
      </c>
      <c r="AX24" s="133">
        <v>0.19291256217406563</v>
      </c>
      <c r="AY24" s="131">
        <v>13.78329765586219</v>
      </c>
      <c r="AZ24" s="134" t="s">
        <v>259</v>
      </c>
      <c r="BA24" s="134" t="s">
        <v>74</v>
      </c>
      <c r="BB24" s="131">
        <v>169.52878910086091</v>
      </c>
      <c r="BC24" s="131">
        <v>147.19294740188809</v>
      </c>
      <c r="BD24" s="133">
        <v>7.061398209123089E-2</v>
      </c>
      <c r="BE24" s="133">
        <v>3.6664780441587969E-2</v>
      </c>
      <c r="BF24" s="133">
        <v>0.16415250543864679</v>
      </c>
      <c r="BG24" s="133"/>
      <c r="BH24" s="133">
        <v>0.18872474965968569</v>
      </c>
      <c r="BI24" s="133"/>
      <c r="BJ24" s="133"/>
      <c r="BK24" s="133">
        <v>0.75298610984836045</v>
      </c>
      <c r="BL24" s="134" t="s">
        <v>123</v>
      </c>
      <c r="BM24" s="134" t="s">
        <v>119</v>
      </c>
      <c r="BN24" s="131"/>
      <c r="BO24" s="131"/>
      <c r="BP24" s="133">
        <v>0.86895115872649908</v>
      </c>
      <c r="BQ24" s="133"/>
      <c r="BR24" s="133"/>
      <c r="BS24" s="136"/>
      <c r="BT24" s="137">
        <v>40.735000610351598</v>
      </c>
      <c r="BU24" s="138">
        <v>2.5199382794978584</v>
      </c>
      <c r="BV24" s="136"/>
      <c r="BW24" s="136" t="s">
        <v>260</v>
      </c>
    </row>
    <row r="25" spans="1:75">
      <c r="A25" s="435" t="s">
        <v>313</v>
      </c>
      <c r="B25" s="435" t="s">
        <v>428</v>
      </c>
      <c r="C25" s="1453">
        <f>AVERAGE(BI56:BI60)</f>
        <v>132.98472976185604</v>
      </c>
      <c r="D25" s="434">
        <f>STDEV(BI56:BI60)</f>
        <v>8.821439855312768</v>
      </c>
      <c r="E25" s="1453">
        <v>17.642879710625536</v>
      </c>
      <c r="F25" s="802">
        <f>AVERAGE(BI61:BI67)</f>
        <v>1.6638459426850722</v>
      </c>
      <c r="G25" s="802">
        <f>STDEV(BI61:BI67)</f>
        <v>1.9710409037207417</v>
      </c>
      <c r="H25" s="802">
        <v>3.9420818074414834</v>
      </c>
      <c r="I25" s="1453">
        <f>AVERAGE(BI68:BI72)</f>
        <v>118.26304649458496</v>
      </c>
      <c r="J25" s="434">
        <f>STDEV(BI68:BI72)</f>
        <v>5.0460892263761536</v>
      </c>
      <c r="K25" s="1453">
        <v>10.092178452752307</v>
      </c>
      <c r="L25" s="878">
        <v>1.1244825302884884</v>
      </c>
      <c r="M25" s="573">
        <v>8.8690372196551362E-2</v>
      </c>
      <c r="N25" s="1520">
        <v>0.17738074439310272</v>
      </c>
      <c r="O25" s="721">
        <v>0.13</v>
      </c>
      <c r="P25" s="721">
        <v>-0.84</v>
      </c>
      <c r="Q25" s="778">
        <v>0.43598039100000002</v>
      </c>
      <c r="R25" s="573">
        <f t="shared" si="1"/>
        <v>0.22701199737897756</v>
      </c>
      <c r="S25" s="573">
        <v>0.39834269442897158</v>
      </c>
      <c r="T25" s="573">
        <v>0.52702946953033047</v>
      </c>
      <c r="U25" s="573">
        <v>5.337005861585159E-2</v>
      </c>
      <c r="V25" s="573">
        <v>7.5316716485507307E-2</v>
      </c>
      <c r="W25" s="887">
        <f t="shared" si="0"/>
        <v>0.45171275304482317</v>
      </c>
      <c r="X25" s="721">
        <f t="shared" si="2"/>
        <v>2.4893752118105614</v>
      </c>
      <c r="Y25" s="721">
        <f t="shared" si="3"/>
        <v>0.19634241362176169</v>
      </c>
      <c r="Z25" s="721"/>
      <c r="AA25" s="721"/>
      <c r="AB25" s="857">
        <v>79.926107550106877</v>
      </c>
      <c r="AC25" s="406">
        <v>94.831144843980894</v>
      </c>
      <c r="AD25" s="909">
        <v>189.66228968796179</v>
      </c>
      <c r="AE25" s="570"/>
      <c r="AF25" s="570"/>
      <c r="AG25" s="912">
        <v>1.4069026564111527E-2</v>
      </c>
      <c r="AH25" s="909">
        <v>1.667739062953548E-2</v>
      </c>
      <c r="AI25" s="904">
        <v>3.3354781259070959E-2</v>
      </c>
      <c r="AJ25" s="435" t="s">
        <v>428</v>
      </c>
      <c r="AL25" s="597" t="s">
        <v>1156</v>
      </c>
      <c r="AM25" s="219"/>
      <c r="AN25" s="219">
        <v>153.93269829471367</v>
      </c>
      <c r="AO25" s="219"/>
      <c r="AP25" s="219">
        <v>590512.90895461245</v>
      </c>
      <c r="AQ25" s="219">
        <v>26.800388134636176</v>
      </c>
      <c r="AR25" s="221">
        <v>6200</v>
      </c>
      <c r="AS25" s="219">
        <v>5822.9405753455758</v>
      </c>
      <c r="AT25" s="219">
        <v>131.76750397112821</v>
      </c>
      <c r="AU25" s="219"/>
      <c r="AV25" s="219"/>
      <c r="AW25" s="223">
        <v>3.0679843633096753</v>
      </c>
      <c r="AX25" s="223">
        <v>3.1864994639776483</v>
      </c>
      <c r="AY25" s="223">
        <v>9.1401431646423923</v>
      </c>
      <c r="AZ25" s="222" t="s">
        <v>323</v>
      </c>
      <c r="BA25" s="222" t="s">
        <v>285</v>
      </c>
      <c r="BB25" s="219">
        <v>155.02846379485962</v>
      </c>
      <c r="BC25" s="219">
        <v>144.70172950941273</v>
      </c>
      <c r="BD25" s="220">
        <v>9.3927773651561713E-2</v>
      </c>
      <c r="BE25" s="220">
        <v>8.2458520687947262E-2</v>
      </c>
      <c r="BF25" s="220">
        <v>0.65671806181097103</v>
      </c>
      <c r="BG25" s="220"/>
      <c r="BH25" s="220">
        <v>0.74685162275631356</v>
      </c>
      <c r="BI25" s="220"/>
      <c r="BJ25" s="220"/>
      <c r="BK25" s="223">
        <v>1.1898751281778015</v>
      </c>
      <c r="BL25" s="219"/>
      <c r="BM25" s="219"/>
      <c r="BN25" s="219"/>
      <c r="BO25" s="219"/>
      <c r="BP25" s="223">
        <v>1.4141127372320199</v>
      </c>
      <c r="BQ25" s="220"/>
      <c r="BR25" s="220"/>
      <c r="BS25" s="224"/>
      <c r="BT25" s="225">
        <v>16.294000625610298</v>
      </c>
      <c r="BU25" s="226">
        <v>3.0052457013376843</v>
      </c>
      <c r="BV25" s="224"/>
      <c r="BW25" s="598" t="s">
        <v>1157</v>
      </c>
    </row>
    <row r="26" spans="1:75" ht="17" thickBot="1">
      <c r="A26" s="435" t="s">
        <v>313</v>
      </c>
      <c r="B26" s="435" t="s">
        <v>20</v>
      </c>
      <c r="C26" s="1453">
        <f>AVERAGE(BJ56:BJ60)</f>
        <v>145.94095988552249</v>
      </c>
      <c r="D26" s="434">
        <f>STDEV(BJ56:BJ60)</f>
        <v>10.660105737878425</v>
      </c>
      <c r="E26" s="1453">
        <v>21.320211475756849</v>
      </c>
      <c r="F26" s="1556">
        <f>AVERAGE(BJ61:BJ67)</f>
        <v>0.47069398639945237</v>
      </c>
      <c r="G26" s="802">
        <f>STDEV(BJ61:BJ67)</f>
        <v>0.44669515017798117</v>
      </c>
      <c r="H26" s="1556">
        <v>0.89339030035596234</v>
      </c>
      <c r="I26" s="1453">
        <f>AVERAGE(BJ68:BJ72)</f>
        <v>151.33354445926608</v>
      </c>
      <c r="J26" s="434">
        <f>STDEV(BJ68:BJ72)</f>
        <v>10.893409397778205</v>
      </c>
      <c r="K26" s="1453">
        <v>21.78681879555641</v>
      </c>
      <c r="L26" s="1435">
        <v>0.96436623094362872</v>
      </c>
      <c r="M26" s="573">
        <v>9.8897818586311526E-2</v>
      </c>
      <c r="N26" s="1520">
        <v>0.19779563717262305</v>
      </c>
      <c r="O26" s="721">
        <v>0.12</v>
      </c>
      <c r="P26" s="721">
        <v>-0.61</v>
      </c>
      <c r="Q26" s="778">
        <v>0.43598039100000002</v>
      </c>
      <c r="R26" s="573">
        <f t="shared" si="1"/>
        <v>0.22701199737897756</v>
      </c>
      <c r="S26" s="573">
        <v>0.2706060371368878</v>
      </c>
      <c r="T26" s="573">
        <v>0.33160899205506816</v>
      </c>
      <c r="U26" s="573">
        <v>2.5871280015758502E-2</v>
      </c>
      <c r="V26" s="573">
        <v>3.5131674902421861E-2</v>
      </c>
      <c r="W26" s="887">
        <f t="shared" si="0"/>
        <v>0.2964773171526463</v>
      </c>
      <c r="X26" s="721">
        <f t="shared" si="2"/>
        <v>3.2527487775636765</v>
      </c>
      <c r="Y26" s="721">
        <f t="shared" si="3"/>
        <v>0.33357634080111542</v>
      </c>
      <c r="Z26" s="721"/>
      <c r="AA26" s="721">
        <f>C26/AVERAGE(BJ61:BJ66)</f>
        <v>310.05486388702309</v>
      </c>
      <c r="AB26" s="857">
        <v>310.05486388702309</v>
      </c>
      <c r="AC26" s="406">
        <v>295.11667274158629</v>
      </c>
      <c r="AD26" s="909">
        <v>590.23334548317257</v>
      </c>
      <c r="AE26" s="778">
        <f>AVERAGE(BJ61:BJ66,0.31)/I26</f>
        <v>2.9586150527824186E-3</v>
      </c>
      <c r="AF26" s="570"/>
      <c r="AG26" s="1531">
        <v>3.1103083462513323E-3</v>
      </c>
      <c r="AH26" s="909">
        <v>2.9602047572636742E-3</v>
      </c>
      <c r="AI26" s="1546">
        <v>5.9204095145273484E-3</v>
      </c>
      <c r="AJ26" s="435" t="s">
        <v>20</v>
      </c>
      <c r="AL26" s="599" t="s">
        <v>1158</v>
      </c>
      <c r="AM26" s="600"/>
      <c r="AN26" s="600">
        <v>90.660690211529356</v>
      </c>
      <c r="AO26" s="600"/>
      <c r="AP26" s="600">
        <v>621986.96474395308</v>
      </c>
      <c r="AQ26" s="601" t="s">
        <v>1159</v>
      </c>
      <c r="AR26" s="602">
        <v>6200</v>
      </c>
      <c r="AS26" s="600">
        <v>5951.7392873879508</v>
      </c>
      <c r="AT26" s="600">
        <v>147.31865733515119</v>
      </c>
      <c r="AU26" s="600"/>
      <c r="AV26" s="600"/>
      <c r="AW26" s="603">
        <v>0.55920672048978193</v>
      </c>
      <c r="AX26" s="603">
        <v>0.50175317599146885</v>
      </c>
      <c r="AY26" s="600">
        <v>10.71036610189644</v>
      </c>
      <c r="AZ26" s="604" t="s">
        <v>1160</v>
      </c>
      <c r="BA26" s="604" t="s">
        <v>520</v>
      </c>
      <c r="BB26" s="600">
        <v>183.44886245941163</v>
      </c>
      <c r="BC26" s="600">
        <v>171.81073090004642</v>
      </c>
      <c r="BD26" s="603">
        <v>2.5760237819374601E-2</v>
      </c>
      <c r="BE26" s="603">
        <v>3.7881757323433268E-2</v>
      </c>
      <c r="BF26" s="604" t="s">
        <v>157</v>
      </c>
      <c r="BG26" s="603"/>
      <c r="BH26" s="603">
        <v>0.17052810598363871</v>
      </c>
      <c r="BI26" s="603"/>
      <c r="BJ26" s="603"/>
      <c r="BK26" s="603">
        <v>0.918135741590551</v>
      </c>
      <c r="BL26" s="604" t="s">
        <v>214</v>
      </c>
      <c r="BM26" s="600"/>
      <c r="BN26" s="600"/>
      <c r="BO26" s="600"/>
      <c r="BP26" s="603">
        <v>0.94372136293217801</v>
      </c>
      <c r="BQ26" s="603"/>
      <c r="BR26" s="603"/>
      <c r="BS26" s="605"/>
      <c r="BT26" s="606">
        <v>6.7889976501465021</v>
      </c>
      <c r="BU26" s="607">
        <v>2.0805048188127442</v>
      </c>
      <c r="BV26" s="605"/>
      <c r="BW26" s="608" t="s">
        <v>1161</v>
      </c>
    </row>
    <row r="27" spans="1:75">
      <c r="A27" s="672" t="s">
        <v>270</v>
      </c>
      <c r="B27" s="672" t="s">
        <v>422</v>
      </c>
      <c r="C27" s="1457">
        <f>AVERAGE(BK15:BK19)</f>
        <v>292.93483070921786</v>
      </c>
      <c r="D27" s="673">
        <f>STDEV(BK15:BK19)</f>
        <v>12.695921056306382</v>
      </c>
      <c r="E27" s="1457">
        <v>25.391842112612764</v>
      </c>
      <c r="F27" s="673">
        <f>AVERAGE(BK20:BK26)</f>
        <v>0.88752892813387696</v>
      </c>
      <c r="G27" s="673">
        <f>STDEV(BK20:BK26)</f>
        <v>0.18469675065796037</v>
      </c>
      <c r="H27" s="673">
        <v>0.36939350131592075</v>
      </c>
      <c r="I27" s="1456">
        <f>AVERAGE(BK27:BK31)</f>
        <v>2.9039457759434946</v>
      </c>
      <c r="J27" s="673">
        <f>STDEV(BK27:BK31)</f>
        <v>0.38544838402465181</v>
      </c>
      <c r="K27" s="1456">
        <v>0.77089676804930363</v>
      </c>
      <c r="L27" s="1437">
        <v>100.87475914182423</v>
      </c>
      <c r="M27" s="749">
        <v>14.085073653245429</v>
      </c>
      <c r="N27" s="1517">
        <v>28.170147306490858</v>
      </c>
      <c r="O27" s="732">
        <v>0.95</v>
      </c>
      <c r="P27" s="732">
        <v>-3.88</v>
      </c>
      <c r="Q27" s="779">
        <v>0.43598039100000002</v>
      </c>
      <c r="R27" s="749">
        <f t="shared" si="1"/>
        <v>0.22701199737897756</v>
      </c>
      <c r="S27" s="749">
        <v>167.50541055154332</v>
      </c>
      <c r="T27" s="749">
        <v>610.38466125219452</v>
      </c>
      <c r="U27" s="749">
        <v>131.89626260102642</v>
      </c>
      <c r="V27" s="749">
        <v>310.98298809962478</v>
      </c>
      <c r="W27" s="889">
        <f t="shared" si="0"/>
        <v>299.40167315256974</v>
      </c>
      <c r="X27" s="732">
        <f t="shared" si="2"/>
        <v>0.33692116039184677</v>
      </c>
      <c r="Y27" s="732">
        <f t="shared" si="3"/>
        <v>4.7044071280349618E-2</v>
      </c>
      <c r="Z27" s="732"/>
      <c r="AA27" s="732"/>
      <c r="AB27" s="877">
        <v>330.05665666035719</v>
      </c>
      <c r="AC27" s="732">
        <v>70.159310230927161</v>
      </c>
      <c r="AD27" s="927">
        <v>140.31862046185432</v>
      </c>
      <c r="AE27" s="749"/>
      <c r="AF27" s="749"/>
      <c r="AG27" s="928">
        <v>0.30562861589435775</v>
      </c>
      <c r="AH27" s="927">
        <v>7.543796653424964E-2</v>
      </c>
      <c r="AI27" s="926">
        <v>0.15087593306849928</v>
      </c>
      <c r="AJ27" s="672" t="s">
        <v>422</v>
      </c>
      <c r="AL27" s="207" t="s">
        <v>250</v>
      </c>
      <c r="AM27" s="141"/>
      <c r="AN27" s="141">
        <v>14.265151536779197</v>
      </c>
      <c r="AO27" s="141"/>
      <c r="AP27" s="141">
        <v>612734.62801531178</v>
      </c>
      <c r="AQ27" s="141">
        <v>102.9472020793506</v>
      </c>
      <c r="AR27" s="142">
        <v>79400</v>
      </c>
      <c r="AS27" s="141">
        <v>78557.673023902782</v>
      </c>
      <c r="AT27" s="141">
        <v>994.9635113192694</v>
      </c>
      <c r="AU27" s="141"/>
      <c r="AV27" s="141"/>
      <c r="AW27" s="143">
        <v>3.6020771923318118</v>
      </c>
      <c r="AX27" s="143">
        <v>3.1856840603880716</v>
      </c>
      <c r="AY27" s="141">
        <v>13.760106874999806</v>
      </c>
      <c r="AZ27" s="143">
        <v>4.8426685141675057</v>
      </c>
      <c r="BA27" s="143">
        <v>8.5352567258290755</v>
      </c>
      <c r="BB27" s="141">
        <v>91.118445397860967</v>
      </c>
      <c r="BC27" s="141">
        <v>76.180454570214252</v>
      </c>
      <c r="BD27" s="143">
        <v>1.0588431145149042</v>
      </c>
      <c r="BE27" s="143">
        <v>3.0507638451177708</v>
      </c>
      <c r="BF27" s="141">
        <v>56.49485786893441</v>
      </c>
      <c r="BG27" s="145"/>
      <c r="BH27" s="141">
        <v>54.272944595008326</v>
      </c>
      <c r="BI27" s="145"/>
      <c r="BJ27" s="145"/>
      <c r="BK27" s="143">
        <v>2.7168747659912964</v>
      </c>
      <c r="BL27" s="144" t="s">
        <v>57</v>
      </c>
      <c r="BM27" s="145">
        <v>1.7593694560856649E-2</v>
      </c>
      <c r="BN27" s="145">
        <v>4.2684338147788388E-2</v>
      </c>
      <c r="BO27" s="145">
        <v>0.55412018137736252</v>
      </c>
      <c r="BP27" s="141">
        <v>43.738792275089352</v>
      </c>
      <c r="BQ27" s="145"/>
      <c r="BR27" s="145"/>
      <c r="BS27" s="146"/>
      <c r="BT27" s="147">
        <v>44.808000564575195</v>
      </c>
      <c r="BU27" s="148">
        <v>1.7986182437915643</v>
      </c>
      <c r="BV27" s="146"/>
      <c r="BW27" s="146" t="s">
        <v>251</v>
      </c>
    </row>
    <row r="28" spans="1:75">
      <c r="A28" s="672" t="s">
        <v>270</v>
      </c>
      <c r="B28" s="672" t="s">
        <v>22</v>
      </c>
      <c r="C28" s="1555">
        <f>AVERAGE(BL15:BL19)</f>
        <v>56.686296406072813</v>
      </c>
      <c r="D28" s="405">
        <f>STDEV(BL15:BL19)</f>
        <v>31.965965920180743</v>
      </c>
      <c r="E28" s="1555">
        <v>63.931931840361486</v>
      </c>
      <c r="F28" s="784" t="e">
        <f>AVERAGE(BL20:BL26)</f>
        <v>#DIV/0!</v>
      </c>
      <c r="G28" s="784" t="e">
        <f>STDEV(BL20:BL26)</f>
        <v>#DIV/0!</v>
      </c>
      <c r="H28" s="784" t="e">
        <v>#DIV/0!</v>
      </c>
      <c r="I28" s="405">
        <f>AVERAGE(BL27:BL31)</f>
        <v>8.9448662433934747E-2</v>
      </c>
      <c r="J28" s="405">
        <f>STDEV(BL27:BL31)</f>
        <v>8.847137722476385E-2</v>
      </c>
      <c r="K28" s="405">
        <v>0.1769427544495277</v>
      </c>
      <c r="L28" s="1323">
        <v>633.72995038288411</v>
      </c>
      <c r="M28" s="571">
        <v>721.5238773489225</v>
      </c>
      <c r="N28" s="1343">
        <v>1443.047754697845</v>
      </c>
      <c r="O28" s="732">
        <v>1.65</v>
      </c>
      <c r="P28" s="732">
        <v>-5.08</v>
      </c>
      <c r="Q28" s="779">
        <v>0.43598039100000002</v>
      </c>
      <c r="R28" s="749">
        <f t="shared" si="1"/>
        <v>0.22701199737897756</v>
      </c>
      <c r="S28" s="749">
        <v>1440.5314893607417</v>
      </c>
      <c r="T28" s="749">
        <v>7830.3368841201373</v>
      </c>
      <c r="U28" s="749">
        <v>1640.9246471199392</v>
      </c>
      <c r="V28" s="749">
        <v>4748.8807476394559</v>
      </c>
      <c r="W28" s="889">
        <f t="shared" si="0"/>
        <v>3081.4561364806809</v>
      </c>
      <c r="X28" s="732">
        <f t="shared" si="2"/>
        <v>0.20565924754868153</v>
      </c>
      <c r="Y28" s="732">
        <f t="shared" si="3"/>
        <v>0.23415029953110808</v>
      </c>
      <c r="Z28" s="732"/>
      <c r="AA28" s="732">
        <f>C28/AVERAGE(0.04, 0.02, 0.02, 0.02, 0.03, 0.0037, 0.04)</f>
        <v>2284.4218471071367</v>
      </c>
      <c r="AB28" s="857" t="e">
        <v>#DIV/0!</v>
      </c>
      <c r="AC28" s="406" t="e">
        <v>#DIV/0!</v>
      </c>
      <c r="AD28" s="909" t="e">
        <v>#DIV/0!</v>
      </c>
      <c r="AE28" s="749">
        <f>AVERAGE(0.04,0.02,0.02,0.02,0.03,BL9,0.04)/I28</f>
        <v>0.27744282514035351</v>
      </c>
      <c r="AF28" s="749"/>
      <c r="AG28" s="912" t="e">
        <v>#DIV/0!</v>
      </c>
      <c r="AH28" s="909" t="e">
        <v>#DIV/0!</v>
      </c>
      <c r="AI28" s="904" t="e">
        <v>#DIV/0!</v>
      </c>
      <c r="AJ28" s="672" t="s">
        <v>22</v>
      </c>
      <c r="AL28" s="207" t="s">
        <v>252</v>
      </c>
      <c r="AM28" s="145"/>
      <c r="AN28" s="141">
        <v>11.471633546750979</v>
      </c>
      <c r="AO28" s="145"/>
      <c r="AP28" s="141">
        <v>614112.69235789415</v>
      </c>
      <c r="AQ28" s="141">
        <v>111.82089348870673</v>
      </c>
      <c r="AR28" s="142">
        <v>79400</v>
      </c>
      <c r="AS28" s="141">
        <v>77985.00412374083</v>
      </c>
      <c r="AT28" s="141">
        <v>931.48959401800437</v>
      </c>
      <c r="AU28" s="141"/>
      <c r="AV28" s="141"/>
      <c r="AW28" s="143">
        <v>3.7047142942272071</v>
      </c>
      <c r="AX28" s="143">
        <v>3.5232781889539386</v>
      </c>
      <c r="AY28" s="141">
        <v>15.127867395968826</v>
      </c>
      <c r="AZ28" s="144" t="s">
        <v>253</v>
      </c>
      <c r="BA28" s="143">
        <v>8.6610400333501012</v>
      </c>
      <c r="BB28" s="141">
        <v>85.204661340393343</v>
      </c>
      <c r="BC28" s="141">
        <v>74.031034356880795</v>
      </c>
      <c r="BD28" s="143">
        <v>1.0951816587957006</v>
      </c>
      <c r="BE28" s="143">
        <v>3.4289125183263875</v>
      </c>
      <c r="BF28" s="141">
        <v>61.847739679523713</v>
      </c>
      <c r="BG28" s="145"/>
      <c r="BH28" s="141">
        <v>60.096265534588241</v>
      </c>
      <c r="BI28" s="145"/>
      <c r="BJ28" s="145"/>
      <c r="BK28" s="143">
        <v>2.7774535569008316</v>
      </c>
      <c r="BL28" s="144">
        <v>3.770077479008091E-2</v>
      </c>
      <c r="BM28" s="145">
        <v>8.9752588239030637E-2</v>
      </c>
      <c r="BN28" s="145">
        <v>4.990489816867922E-2</v>
      </c>
      <c r="BO28" s="145">
        <v>0.53031440686382481</v>
      </c>
      <c r="BP28" s="141">
        <v>47.473107218351672</v>
      </c>
      <c r="BQ28" s="145"/>
      <c r="BR28" s="145"/>
      <c r="BS28" s="146"/>
      <c r="BT28" s="147">
        <v>32.588001251220696</v>
      </c>
      <c r="BU28" s="148">
        <v>1.5933368328620607</v>
      </c>
      <c r="BV28" s="146"/>
      <c r="BW28" s="146" t="s">
        <v>254</v>
      </c>
    </row>
    <row r="29" spans="1:75">
      <c r="A29" s="672" t="s">
        <v>270</v>
      </c>
      <c r="B29" s="672" t="s">
        <v>23</v>
      </c>
      <c r="C29" s="405">
        <f>AVERAGE(BM15:BM19)</f>
        <v>39.827015484297718</v>
      </c>
      <c r="D29" s="405">
        <f>STDEV(BM15:BM19)</f>
        <v>21.004039611461614</v>
      </c>
      <c r="E29" s="405">
        <v>42.008079222923229</v>
      </c>
      <c r="F29" s="784" t="e">
        <f>AVERAGE(BM20:BM26)</f>
        <v>#DIV/0!</v>
      </c>
      <c r="G29" s="784" t="e">
        <f>STDEV(BM20:BM26)</f>
        <v>#DIV/0!</v>
      </c>
      <c r="H29" s="784" t="e">
        <v>#DIV/0!</v>
      </c>
      <c r="I29" s="405">
        <f>AVERAGE(BM27:BM31)</f>
        <v>2.6045084806101772E-2</v>
      </c>
      <c r="J29" s="405">
        <f>STDEV(BM27:BM31)</f>
        <v>3.5945451459450259E-2</v>
      </c>
      <c r="K29" s="405">
        <v>7.1890902918900518E-2</v>
      </c>
      <c r="L29" s="1323">
        <v>1529.1566827598563</v>
      </c>
      <c r="M29" s="571">
        <v>2259.2606841007773</v>
      </c>
      <c r="N29" s="1343">
        <v>4518.5213682015547</v>
      </c>
      <c r="O29" s="732">
        <v>1.71</v>
      </c>
      <c r="P29" s="732">
        <v>-5.34</v>
      </c>
      <c r="Q29" s="779">
        <v>0.43598039100000002</v>
      </c>
      <c r="R29" s="749">
        <f t="shared" si="1"/>
        <v>0.22701199737897756</v>
      </c>
      <c r="S29" s="749">
        <v>2111.3514501197947</v>
      </c>
      <c r="T29" s="749">
        <v>12515.537934217033</v>
      </c>
      <c r="U29" s="749">
        <v>2584.2958173925531</v>
      </c>
      <c r="V29" s="749">
        <v>7819.8906667046849</v>
      </c>
      <c r="W29" s="889">
        <f t="shared" si="0"/>
        <v>4695.6472675123478</v>
      </c>
      <c r="X29" s="732">
        <f t="shared" si="2"/>
        <v>0.32565407826511855</v>
      </c>
      <c r="Y29" s="732">
        <f t="shared" si="3"/>
        <v>0.48113935212550252</v>
      </c>
      <c r="Z29" s="732"/>
      <c r="AA29" s="732">
        <f>C29/AVERAGE(0.0081, 0.0081, 0.0081, 0.0081, 0.68)</f>
        <v>279.52705982803002</v>
      </c>
      <c r="AB29" s="857" t="e">
        <v>#DIV/0!</v>
      </c>
      <c r="AC29" s="406" t="e">
        <v>#DIV/0!</v>
      </c>
      <c r="AD29" s="909" t="e">
        <v>#DIV/0!</v>
      </c>
      <c r="AE29" s="1538">
        <f>AVERAGE(BM8,BM8,BM8,BM8,0.68)/I29</f>
        <v>5.470978578228185</v>
      </c>
      <c r="AF29" s="749"/>
      <c r="AG29" s="912" t="e">
        <v>#DIV/0!</v>
      </c>
      <c r="AH29" s="909" t="e">
        <v>#DIV/0!</v>
      </c>
      <c r="AI29" s="904" t="e">
        <v>#DIV/0!</v>
      </c>
      <c r="AJ29" s="672" t="s">
        <v>23</v>
      </c>
      <c r="AL29" s="207" t="s">
        <v>255</v>
      </c>
      <c r="AM29" s="143"/>
      <c r="AN29" s="141">
        <v>14.282743642036507</v>
      </c>
      <c r="AO29" s="145"/>
      <c r="AP29" s="141">
        <v>675478.70056954422</v>
      </c>
      <c r="AQ29" s="141">
        <v>107.49614533777384</v>
      </c>
      <c r="AR29" s="142">
        <v>79400</v>
      </c>
      <c r="AS29" s="141">
        <v>77350.503438427768</v>
      </c>
      <c r="AT29" s="141">
        <v>914.20783727775927</v>
      </c>
      <c r="AU29" s="141"/>
      <c r="AV29" s="141"/>
      <c r="AW29" s="143">
        <v>3.1110737919219869</v>
      </c>
      <c r="AX29" s="143">
        <v>2.7505416241326635</v>
      </c>
      <c r="AY29" s="141">
        <v>15.361415712241371</v>
      </c>
      <c r="AZ29" s="144" t="s">
        <v>256</v>
      </c>
      <c r="BA29" s="143">
        <v>8.7359257699201933</v>
      </c>
      <c r="BB29" s="141">
        <v>92.552700676672146</v>
      </c>
      <c r="BC29" s="141">
        <v>77.204320843618461</v>
      </c>
      <c r="BD29" s="145">
        <v>0.92927588937584016</v>
      </c>
      <c r="BE29" s="143">
        <v>2.5711196970397872</v>
      </c>
      <c r="BF29" s="141">
        <v>55.961471918372162</v>
      </c>
      <c r="BG29" s="145"/>
      <c r="BH29" s="141">
        <v>53.502005604446111</v>
      </c>
      <c r="BI29" s="145"/>
      <c r="BJ29" s="145"/>
      <c r="BK29" s="143">
        <v>2.4447308554523346</v>
      </c>
      <c r="BL29" s="144" t="s">
        <v>123</v>
      </c>
      <c r="BM29" s="145">
        <v>5.7211288716829574E-3</v>
      </c>
      <c r="BN29" s="145">
        <v>2.8302646146114253E-2</v>
      </c>
      <c r="BO29" s="145">
        <v>0.40234345542988353</v>
      </c>
      <c r="BP29" s="141">
        <v>46.054644588293115</v>
      </c>
      <c r="BQ29" s="145"/>
      <c r="BR29" s="145"/>
      <c r="BS29" s="146"/>
      <c r="BT29" s="147">
        <v>45.488002777099595</v>
      </c>
      <c r="BU29" s="148">
        <v>1.7791350019946419</v>
      </c>
      <c r="BV29" s="146"/>
      <c r="BW29" s="146" t="s">
        <v>257</v>
      </c>
    </row>
    <row r="30" spans="1:75">
      <c r="A30" s="672" t="s">
        <v>270</v>
      </c>
      <c r="B30" s="672" t="s">
        <v>24</v>
      </c>
      <c r="C30" s="1555">
        <f>AVERAGE(BN15:BN19)</f>
        <v>44.407496725380682</v>
      </c>
      <c r="D30" s="405">
        <f>STDEV(BN15:BN19)</f>
        <v>30.495966095109207</v>
      </c>
      <c r="E30" s="1555">
        <v>60.991932190218414</v>
      </c>
      <c r="F30" s="1559">
        <f>AVERAGE(BN20:BN26)</f>
        <v>9.9127214272996074E-4</v>
      </c>
      <c r="G30" s="1560">
        <f>STDEV(BN20:BN26)</f>
        <v>2.9736085121527609E-4</v>
      </c>
      <c r="H30" s="1559">
        <v>5.9472170243055219E-4</v>
      </c>
      <c r="I30" s="673">
        <f>AVERAGE(BN27:BN31)</f>
        <v>4.247808659279783E-2</v>
      </c>
      <c r="J30" s="673">
        <f>STDEV(BN27:BN31)</f>
        <v>9.612450092432152E-3</v>
      </c>
      <c r="K30" s="673">
        <v>1.9224900184864304E-2</v>
      </c>
      <c r="L30" s="1323">
        <v>1045.421305132656</v>
      </c>
      <c r="M30" s="571">
        <v>755.89551075124916</v>
      </c>
      <c r="N30" s="1343">
        <v>1511.7910215024983</v>
      </c>
      <c r="O30" s="732">
        <v>1.49</v>
      </c>
      <c r="P30" s="732">
        <v>-5.04</v>
      </c>
      <c r="Q30" s="779">
        <v>0.43598039100000002</v>
      </c>
      <c r="R30" s="749">
        <f t="shared" si="1"/>
        <v>0.22701199737897756</v>
      </c>
      <c r="S30" s="749">
        <v>1233.2959191788084</v>
      </c>
      <c r="T30" s="749">
        <v>6615.0869151667903</v>
      </c>
      <c r="U30" s="749">
        <v>1389.1121144142683</v>
      </c>
      <c r="V30" s="749">
        <v>3992.6788815737136</v>
      </c>
      <c r="W30" s="889">
        <f t="shared" si="0"/>
        <v>2622.4080335930767</v>
      </c>
      <c r="X30" s="732">
        <f t="shared" si="2"/>
        <v>0.39864936796287886</v>
      </c>
      <c r="Y30" s="732">
        <f t="shared" si="3"/>
        <v>0.28824481204611146</v>
      </c>
      <c r="Z30" s="732"/>
      <c r="AA30" s="732">
        <f>C30/AVERAGE(0.00078, 0.0012)</f>
        <v>44856.057298364329</v>
      </c>
      <c r="AB30" s="857">
        <v>44798.491565678989</v>
      </c>
      <c r="AC30" s="406">
        <v>33571.551098088603</v>
      </c>
      <c r="AD30" s="909">
        <v>67143.102196177206</v>
      </c>
      <c r="AE30" s="779"/>
      <c r="AF30" s="749"/>
      <c r="AG30" s="928">
        <v>2.3336082725016884E-2</v>
      </c>
      <c r="AH30" s="927">
        <v>8.7687632094286955E-3</v>
      </c>
      <c r="AI30" s="926">
        <v>1.7537526418857391E-2</v>
      </c>
      <c r="AJ30" s="672" t="s">
        <v>24</v>
      </c>
      <c r="AL30" s="595" t="s">
        <v>1150</v>
      </c>
      <c r="AM30" s="227"/>
      <c r="AN30" s="227">
        <v>10.834643197212765</v>
      </c>
      <c r="AO30" s="227"/>
      <c r="AP30" s="227">
        <v>656304.82508166425</v>
      </c>
      <c r="AQ30" s="227">
        <v>112.34838094844739</v>
      </c>
      <c r="AR30" s="228">
        <v>79400</v>
      </c>
      <c r="AS30" s="227">
        <v>81946.868055204148</v>
      </c>
      <c r="AT30" s="227">
        <v>892.92820797428431</v>
      </c>
      <c r="AU30" s="227"/>
      <c r="AV30" s="227"/>
      <c r="AW30" s="229">
        <v>3.9168854561597888</v>
      </c>
      <c r="AX30" s="229">
        <v>3.1766207502581736</v>
      </c>
      <c r="AY30" s="227">
        <v>12.018531458058686</v>
      </c>
      <c r="AZ30" s="230" t="s">
        <v>1151</v>
      </c>
      <c r="BA30" s="229">
        <v>9.8382245457903856</v>
      </c>
      <c r="BB30" s="227">
        <v>80.601602899988464</v>
      </c>
      <c r="BC30" s="227">
        <v>77.004192089581693</v>
      </c>
      <c r="BD30" s="231">
        <v>1.0086968717918638</v>
      </c>
      <c r="BE30" s="229">
        <v>3.2874614273641947</v>
      </c>
      <c r="BF30" s="227">
        <v>66.652512451675037</v>
      </c>
      <c r="BG30" s="231"/>
      <c r="BH30" s="227">
        <v>63.005091324354126</v>
      </c>
      <c r="BI30" s="231"/>
      <c r="BJ30" s="231"/>
      <c r="BK30" s="229">
        <v>3.1603067664454936</v>
      </c>
      <c r="BL30" s="231">
        <v>0.19160367652461036</v>
      </c>
      <c r="BM30" s="231">
        <v>5.8368408167405522E-3</v>
      </c>
      <c r="BN30" s="231">
        <v>3.896501939977505E-2</v>
      </c>
      <c r="BO30" s="231">
        <v>0.50990903439782986</v>
      </c>
      <c r="BP30" s="227">
        <v>53.453536597067</v>
      </c>
      <c r="BQ30" s="231"/>
      <c r="BR30" s="231"/>
      <c r="BS30" s="232"/>
      <c r="BT30" s="233">
        <v>47.524002075195298</v>
      </c>
      <c r="BU30" s="234">
        <v>1.9641945007553323</v>
      </c>
      <c r="BV30" s="232"/>
      <c r="BW30" s="596" t="s">
        <v>1152</v>
      </c>
    </row>
    <row r="31" spans="1:75" ht="17" thickBot="1">
      <c r="A31" s="672" t="s">
        <v>270</v>
      </c>
      <c r="B31" s="672" t="s">
        <v>25</v>
      </c>
      <c r="C31" s="1457">
        <f>AVERAGE(BO15:BO19)</f>
        <v>185.62771505739875</v>
      </c>
      <c r="D31" s="673">
        <f>STDEV(BO15:BO19)</f>
        <v>55.687625668205335</v>
      </c>
      <c r="E31" s="1457">
        <v>111.37525133641067</v>
      </c>
      <c r="F31" s="784">
        <f>AVERAGE(BO20:BO26)</f>
        <v>6.6687244911332608E-3</v>
      </c>
      <c r="G31" s="784" t="e">
        <f>STDEV(BO20:BO26)</f>
        <v>#DIV/0!</v>
      </c>
      <c r="H31" s="784" t="e">
        <v>#DIV/0!</v>
      </c>
      <c r="I31" s="673">
        <f>AVERAGE(BO27:BO31)</f>
        <v>0.52684547309684537</v>
      </c>
      <c r="J31" s="673">
        <f>STDEV(BO27:BO31)</f>
        <v>8.4848218144549833E-2</v>
      </c>
      <c r="K31" s="673">
        <v>0.16969643628909967</v>
      </c>
      <c r="L31" s="1437">
        <v>352.33806597266982</v>
      </c>
      <c r="M31" s="749">
        <v>119.96825340143823</v>
      </c>
      <c r="N31" s="1517">
        <v>239.93650680287647</v>
      </c>
      <c r="O31" s="732">
        <v>0.95</v>
      </c>
      <c r="P31" s="732">
        <v>-4.2</v>
      </c>
      <c r="Q31" s="779">
        <v>0.43598039100000002</v>
      </c>
      <c r="R31" s="749">
        <f t="shared" si="1"/>
        <v>0.22701199737897756</v>
      </c>
      <c r="S31" s="749">
        <v>256.62037011482994</v>
      </c>
      <c r="T31" s="749">
        <v>1040.3544852764055</v>
      </c>
      <c r="U31" s="749">
        <v>224.57185748223418</v>
      </c>
      <c r="V31" s="749">
        <v>559.16225767934134</v>
      </c>
      <c r="W31" s="889">
        <f t="shared" si="0"/>
        <v>481.19222759706412</v>
      </c>
      <c r="X31" s="732">
        <f t="shared" si="2"/>
        <v>0.73221894653649122</v>
      </c>
      <c r="Y31" s="732">
        <f t="shared" si="3"/>
        <v>0.24931461175199204</v>
      </c>
      <c r="Z31" s="732"/>
      <c r="AA31" s="732">
        <f>C31/AVERAGE(0.05, 0.05, 0.04, 0.0067, 0.0038, 0.0053, 0.0053)</f>
        <v>8065.7604307994479</v>
      </c>
      <c r="AB31" s="857">
        <v>27835.565152557949</v>
      </c>
      <c r="AC31" s="406" t="e">
        <v>#DIV/0!</v>
      </c>
      <c r="AD31" s="909" t="e">
        <v>#DIV/0!</v>
      </c>
      <c r="AE31" s="749">
        <f>AVERAGE(0.05, 0.05, 0.04, BO23,BO8,BO9,BO9)/I31</f>
        <v>4.3696918496238656E-2</v>
      </c>
      <c r="AF31" s="749"/>
      <c r="AG31" s="912">
        <v>1.2657837699418568E-2</v>
      </c>
      <c r="AH31" s="909" t="e">
        <v>#DIV/0!</v>
      </c>
      <c r="AI31" s="904" t="e">
        <v>#DIV/0!</v>
      </c>
      <c r="AJ31" s="672" t="s">
        <v>25</v>
      </c>
      <c r="AL31" s="595" t="s">
        <v>1153</v>
      </c>
      <c r="AM31" s="227"/>
      <c r="AN31" s="227">
        <v>17.28083268622391</v>
      </c>
      <c r="AO31" s="227"/>
      <c r="AP31" s="227">
        <v>755222.56214657368</v>
      </c>
      <c r="AQ31" s="227">
        <v>124.53921048411829</v>
      </c>
      <c r="AR31" s="228">
        <v>79400</v>
      </c>
      <c r="AS31" s="227">
        <v>80671.445686686173</v>
      </c>
      <c r="AT31" s="227">
        <v>835.31609313275999</v>
      </c>
      <c r="AU31" s="227"/>
      <c r="AV31" s="227"/>
      <c r="AW31" s="229">
        <v>4.5311081141602774</v>
      </c>
      <c r="AX31" s="229">
        <v>3.6396589578631469</v>
      </c>
      <c r="AY31" s="227">
        <v>13.653652857532252</v>
      </c>
      <c r="AZ31" s="230" t="s">
        <v>1154</v>
      </c>
      <c r="BA31" s="227">
        <v>10.44654443462273</v>
      </c>
      <c r="BB31" s="227">
        <v>108.48713215451481</v>
      </c>
      <c r="BC31" s="227">
        <v>104.73838342736268</v>
      </c>
      <c r="BD31" s="229">
        <v>1.2302576179303748</v>
      </c>
      <c r="BE31" s="229">
        <v>3.9466727381625502</v>
      </c>
      <c r="BF31" s="227">
        <v>68.377547339983295</v>
      </c>
      <c r="BG31" s="231"/>
      <c r="BH31" s="227">
        <v>63.237531381379895</v>
      </c>
      <c r="BI31" s="231"/>
      <c r="BJ31" s="231"/>
      <c r="BK31" s="229">
        <v>3.4203629349275153</v>
      </c>
      <c r="BL31" s="231">
        <v>3.9041535987112998E-2</v>
      </c>
      <c r="BM31" s="231">
        <v>1.1321171542198064E-2</v>
      </c>
      <c r="BN31" s="231">
        <v>5.2533531101632253E-2</v>
      </c>
      <c r="BO31" s="231">
        <v>0.63754028741532665</v>
      </c>
      <c r="BP31" s="227">
        <v>63.052424905906108</v>
      </c>
      <c r="BQ31" s="231"/>
      <c r="BR31" s="231"/>
      <c r="BS31" s="232"/>
      <c r="BT31" s="233">
        <v>39.377002716064496</v>
      </c>
      <c r="BU31" s="234">
        <v>1.8039399287544158</v>
      </c>
      <c r="BV31" s="232"/>
      <c r="BW31" s="596" t="s">
        <v>1155</v>
      </c>
    </row>
    <row r="32" spans="1:75">
      <c r="A32" s="672" t="s">
        <v>270</v>
      </c>
      <c r="B32" s="672" t="s">
        <v>26</v>
      </c>
      <c r="C32" s="1457">
        <f>AVERAGE(BP15:BP19)</f>
        <v>379.38608811021106</v>
      </c>
      <c r="D32" s="673">
        <f>STDEV(BP15:BP19)</f>
        <v>35.589418373585815</v>
      </c>
      <c r="E32" s="1457">
        <v>71.17883674717163</v>
      </c>
      <c r="F32" s="405">
        <f>AVERAGE(BP20:BP26)</f>
        <v>1.6349414236351876</v>
      </c>
      <c r="G32" s="405">
        <f>STDEV(BP20:BP26)</f>
        <v>1.3409665527534498</v>
      </c>
      <c r="H32" s="405">
        <v>2.6819331055068996</v>
      </c>
      <c r="I32" s="1457">
        <f>AVERAGE(BP27:BP31)</f>
        <v>50.754501116941448</v>
      </c>
      <c r="J32" s="673">
        <f>STDEV(BP27:BP31)</f>
        <v>7.7556445557958673</v>
      </c>
      <c r="K32" s="1457">
        <v>15.511289111591735</v>
      </c>
      <c r="L32" s="1437">
        <v>7.4749249773154602</v>
      </c>
      <c r="M32" s="749">
        <v>1.3402837195747299</v>
      </c>
      <c r="N32" s="1517">
        <v>2.6805674391494598</v>
      </c>
      <c r="O32" s="732">
        <v>0.37</v>
      </c>
      <c r="P32" s="732">
        <v>-1.72</v>
      </c>
      <c r="Q32" s="779">
        <v>0.43598039100000002</v>
      </c>
      <c r="R32" s="749">
        <f t="shared" si="1"/>
        <v>0.22701199737897756</v>
      </c>
      <c r="S32" s="749">
        <v>3.6642619990760767</v>
      </c>
      <c r="T32" s="749">
        <v>6.500279577215001</v>
      </c>
      <c r="U32" s="749">
        <v>1.075950063229036</v>
      </c>
      <c r="V32" s="749">
        <v>1.7600675149098883</v>
      </c>
      <c r="W32" s="889">
        <f t="shared" si="0"/>
        <v>4.7402120623051127</v>
      </c>
      <c r="X32" s="732">
        <f t="shared" si="2"/>
        <v>1.5769178422959598</v>
      </c>
      <c r="Y32" s="732">
        <f t="shared" si="3"/>
        <v>0.28274762857823804</v>
      </c>
      <c r="Z32" s="732"/>
      <c r="AA32" s="732"/>
      <c r="AB32" s="857">
        <v>232.04873436179162</v>
      </c>
      <c r="AC32" s="406">
        <v>191.56540384578429</v>
      </c>
      <c r="AD32" s="909">
        <v>383.13080769156858</v>
      </c>
      <c r="AE32" s="749"/>
      <c r="AF32" s="749"/>
      <c r="AG32" s="912">
        <v>3.2212737543576349E-2</v>
      </c>
      <c r="AH32" s="909">
        <v>2.6875262494709787E-2</v>
      </c>
      <c r="AI32" s="904">
        <v>5.3750524989419575E-2</v>
      </c>
      <c r="AJ32" s="672" t="s">
        <v>26</v>
      </c>
      <c r="AL32" s="177" t="s">
        <v>316</v>
      </c>
      <c r="AM32" s="178"/>
      <c r="AN32" s="179">
        <v>21.257279922294224</v>
      </c>
      <c r="AO32" s="181"/>
      <c r="AP32" s="179">
        <v>956042.81965894112</v>
      </c>
      <c r="AQ32" s="179">
        <v>4700.5602291807108</v>
      </c>
      <c r="AR32" s="180">
        <v>55500</v>
      </c>
      <c r="AS32" s="179">
        <v>55889.10689761331</v>
      </c>
      <c r="AT32" s="179">
        <v>149.58956264162697</v>
      </c>
      <c r="AU32" s="273"/>
      <c r="AV32" s="277"/>
      <c r="AW32" s="179">
        <v>60.195357396477931</v>
      </c>
      <c r="AX32" s="179">
        <v>58.702667242470838</v>
      </c>
      <c r="AY32" s="179">
        <v>183.50791566416098</v>
      </c>
      <c r="AZ32" s="179">
        <v>180.84680576498806</v>
      </c>
      <c r="BA32" s="178">
        <v>4.2569896997846222</v>
      </c>
      <c r="BB32" s="178">
        <v>6.2278301737137607</v>
      </c>
      <c r="BC32" s="178">
        <v>6.7746636481971292</v>
      </c>
      <c r="BD32" s="179">
        <v>20.859352862646119</v>
      </c>
      <c r="BE32" s="178">
        <v>2.2345179311362062</v>
      </c>
      <c r="BF32" s="178">
        <v>1.3995977011508522</v>
      </c>
      <c r="BG32" s="181"/>
      <c r="BH32" s="178">
        <v>1.541758849715928</v>
      </c>
      <c r="BI32" s="181"/>
      <c r="BJ32" s="181"/>
      <c r="BK32" s="178">
        <v>3.0652351375509301</v>
      </c>
      <c r="BL32" s="178">
        <v>1.241401757481895</v>
      </c>
      <c r="BM32" s="178">
        <v>9.7160284816268749</v>
      </c>
      <c r="BN32" s="179">
        <v>15.17545401598376</v>
      </c>
      <c r="BO32" s="179">
        <v>30.484695531364459</v>
      </c>
      <c r="BP32" s="181">
        <v>0.70481362249613289</v>
      </c>
      <c r="BQ32" s="181"/>
      <c r="BR32" s="181"/>
      <c r="BS32" s="182"/>
      <c r="BT32" s="183">
        <v>38.698001861572301</v>
      </c>
      <c r="BU32" s="184">
        <v>0.82007705284235632</v>
      </c>
      <c r="BV32" s="182"/>
      <c r="BW32" s="185" t="s">
        <v>261</v>
      </c>
    </row>
    <row r="33" spans="1:75" ht="17" thickBot="1">
      <c r="A33" s="435" t="s">
        <v>313</v>
      </c>
      <c r="B33" s="435" t="s">
        <v>27</v>
      </c>
      <c r="C33" s="405">
        <f>AVERAGE(BQ56:BQ60)</f>
        <v>1.8584950190381987E-2</v>
      </c>
      <c r="D33" s="782">
        <f>STDEV(BQ56:BQ60)</f>
        <v>1.072890185926108E-2</v>
      </c>
      <c r="E33" s="405">
        <v>2.1457803718522159E-2</v>
      </c>
      <c r="F33" s="1555">
        <f>AVERAGE(BQ61:BQ67)</f>
        <v>1.8393919170175228</v>
      </c>
      <c r="G33" s="405">
        <f>STDEV(BQ61:BQ67)</f>
        <v>3.1048297341077227</v>
      </c>
      <c r="H33" s="1555">
        <v>6.2096594682154453</v>
      </c>
      <c r="I33" s="1453">
        <f>AVERAGE(BQ68:BQ72)</f>
        <v>224.94149951555886</v>
      </c>
      <c r="J33" s="434">
        <f>STDEV(BQ68:BQ72)</f>
        <v>72.156994415903171</v>
      </c>
      <c r="K33" s="1453">
        <v>144.31398883180634</v>
      </c>
      <c r="L33" s="1344">
        <v>8.262126032949511E-5</v>
      </c>
      <c r="M33" s="1345">
        <v>5.4565324954153067E-5</v>
      </c>
      <c r="N33" s="1346">
        <v>1.0913064990830613E-4</v>
      </c>
      <c r="O33" s="721">
        <v>2.5000000000000001E-2</v>
      </c>
      <c r="P33" s="721">
        <v>3</v>
      </c>
      <c r="Q33" s="778">
        <v>0.43598039100000002</v>
      </c>
      <c r="R33" s="573">
        <f t="shared" si="1"/>
        <v>0.22701199737897756</v>
      </c>
      <c r="S33" s="1333">
        <f>O33*(((1-(2*C47))/(1-C47))^P33)</f>
        <v>1.6861599390430646E-4</v>
      </c>
      <c r="T33" s="1333">
        <f>O33*(((1-(2*C46))/(1-C46))^P33)</f>
        <v>4.5825378904311865E-4</v>
      </c>
      <c r="U33" s="1333">
        <v>1.2385744951686601E-4</v>
      </c>
      <c r="V33" s="1333">
        <v>1.6578034562194619E-4</v>
      </c>
      <c r="W33" s="900">
        <f t="shared" si="0"/>
        <v>2.9247344342117246E-4</v>
      </c>
      <c r="X33" s="721">
        <f t="shared" si="2"/>
        <v>0.28249149516975963</v>
      </c>
      <c r="Y33" s="721">
        <f t="shared" si="3"/>
        <v>0.18656505806435561</v>
      </c>
      <c r="Z33" s="573">
        <f>AVERAGE(0.24, 0.011, 0.014, 0.21, 0.03)/F33</f>
        <v>5.4909450816640636E-2</v>
      </c>
      <c r="AA33" s="721"/>
      <c r="AB33" s="868">
        <v>1.0103855528796987E-2</v>
      </c>
      <c r="AC33" s="571">
        <v>1.8024809188857016E-2</v>
      </c>
      <c r="AD33" s="909">
        <v>3.6049618377714032E-2</v>
      </c>
      <c r="AE33" s="570"/>
      <c r="AF33" s="570"/>
      <c r="AG33" s="1531">
        <v>8.1772012766825834E-3</v>
      </c>
      <c r="AH33" s="909">
        <v>1.4049867760860727E-2</v>
      </c>
      <c r="AI33" s="904">
        <v>2.8099735521721455E-2</v>
      </c>
      <c r="AJ33" s="435" t="s">
        <v>27</v>
      </c>
      <c r="AL33" s="186" t="s">
        <v>317</v>
      </c>
      <c r="AM33" s="187"/>
      <c r="AN33" s="188">
        <v>25.202783402784569</v>
      </c>
      <c r="AO33" s="190"/>
      <c r="AP33" s="188">
        <v>935025.81849374622</v>
      </c>
      <c r="AQ33" s="188">
        <v>4583.3482170388497</v>
      </c>
      <c r="AR33" s="189">
        <v>55500</v>
      </c>
      <c r="AS33" s="188">
        <v>55109.849855830515</v>
      </c>
      <c r="AT33" s="188">
        <v>143.05553172917496</v>
      </c>
      <c r="AU33" s="274"/>
      <c r="AV33" s="278"/>
      <c r="AW33" s="188">
        <v>56.86893643025892</v>
      </c>
      <c r="AX33" s="188">
        <v>58.353012267453842</v>
      </c>
      <c r="AY33" s="188">
        <v>173.72351516330994</v>
      </c>
      <c r="AZ33" s="188">
        <v>176.39279699324644</v>
      </c>
      <c r="BA33" s="187">
        <v>4.4203383108935075</v>
      </c>
      <c r="BB33" s="187">
        <v>6.6880831545084458</v>
      </c>
      <c r="BC33" s="187">
        <v>6.1414078771702458</v>
      </c>
      <c r="BD33" s="188">
        <v>19.507964010569772</v>
      </c>
      <c r="BE33" s="187">
        <v>2.0048063563216627</v>
      </c>
      <c r="BF33" s="187">
        <v>1.4866958456285044</v>
      </c>
      <c r="BG33" s="190"/>
      <c r="BH33" s="187">
        <v>1.345750693354306</v>
      </c>
      <c r="BI33" s="190"/>
      <c r="BJ33" s="190"/>
      <c r="BK33" s="187">
        <v>2.6882935692044918</v>
      </c>
      <c r="BL33" s="187">
        <v>1.0600632581258249</v>
      </c>
      <c r="BM33" s="187">
        <v>9.3375103712592349</v>
      </c>
      <c r="BN33" s="188">
        <v>15.298423843625642</v>
      </c>
      <c r="BO33" s="188">
        <v>30.26374073076925</v>
      </c>
      <c r="BP33" s="190">
        <v>0.62800299439090923</v>
      </c>
      <c r="BQ33" s="190"/>
      <c r="BR33" s="190"/>
      <c r="BS33" s="191"/>
      <c r="BT33" s="192">
        <v>38.698001861572294</v>
      </c>
      <c r="BU33" s="193">
        <v>0.87355884263798378</v>
      </c>
      <c r="BV33" s="191"/>
      <c r="BW33" s="194" t="s">
        <v>44</v>
      </c>
    </row>
    <row r="34" spans="1:75">
      <c r="A34" s="435" t="s">
        <v>313</v>
      </c>
      <c r="B34" s="435" t="s">
        <v>28</v>
      </c>
      <c r="C34" s="788">
        <f>AVERAGE(BR56:BR60)</f>
        <v>2.0696101650236824E-2</v>
      </c>
      <c r="D34" s="788">
        <f>STDEV(BR56:BR60)</f>
        <v>4.2019040978698635E-3</v>
      </c>
      <c r="E34" s="788">
        <v>8.403808195739727E-3</v>
      </c>
      <c r="F34" s="1554">
        <f>AVERAGE(BR61:BR67)</f>
        <v>1.054348463291958</v>
      </c>
      <c r="G34" s="405">
        <f>STDEV(BR61:BR67)</f>
        <v>1.5111904560906178</v>
      </c>
      <c r="H34" s="1554">
        <v>3.0223809121812355</v>
      </c>
      <c r="I34" s="1453">
        <f>AVERAGE(BR68:BR72)</f>
        <v>239.76618014768457</v>
      </c>
      <c r="J34" s="434">
        <f>STDEV(BR68:BR72)</f>
        <v>69.471453323736043</v>
      </c>
      <c r="K34" s="1453">
        <v>138.94290664747209</v>
      </c>
      <c r="L34" s="1562">
        <v>8.6317851990172295E-5</v>
      </c>
      <c r="M34" s="1347">
        <v>3.0539180092610292E-5</v>
      </c>
      <c r="N34" s="1522">
        <v>6.1078360185220585E-5</v>
      </c>
      <c r="O34" s="721">
        <v>1.2E-2</v>
      </c>
      <c r="P34" s="1552">
        <v>3.3</v>
      </c>
      <c r="Q34" s="778">
        <v>0.43598039100000002</v>
      </c>
      <c r="R34" s="573">
        <f>(1-(2*Q34))/(1-Q34)</f>
        <v>0.22701199737897756</v>
      </c>
      <c r="S34" s="1355">
        <f>O34*(((1-(2*C47))/(1-C47))^P34)</f>
        <v>4.9094843505285857E-5</v>
      </c>
      <c r="T34" s="1355">
        <f>O34*(((1-(2*C46))/(1-C46))^P34)</f>
        <v>1.4745649531332596E-4</v>
      </c>
      <c r="U34" s="1355">
        <v>4.0884396079836203E-5</v>
      </c>
      <c r="V34" s="1355">
        <v>5.7477255728203904E-5</v>
      </c>
      <c r="W34" s="1356">
        <f>O34*((R34)^P34)</f>
        <v>8.997923958512206E-5</v>
      </c>
      <c r="X34" s="721">
        <f t="shared" si="2"/>
        <v>0.95930852925817378</v>
      </c>
      <c r="Y34" s="721">
        <f t="shared" si="3"/>
        <v>0.33940251366227259</v>
      </c>
      <c r="Z34" s="573">
        <f>AVERAGE(0.03, 0.024, 0.018, 0.23, 0.04)/F34</f>
        <v>6.4874187596799721E-2</v>
      </c>
      <c r="AA34" s="721"/>
      <c r="AB34" s="868">
        <v>1.9629280423682754E-2</v>
      </c>
      <c r="AC34" s="571">
        <v>2.8415375132464001E-2</v>
      </c>
      <c r="AD34" s="909">
        <v>5.6830750264928002E-2</v>
      </c>
      <c r="AE34" s="570"/>
      <c r="AF34" s="570"/>
      <c r="AG34" s="1531">
        <v>4.3974027639866872E-3</v>
      </c>
      <c r="AH34" s="909">
        <v>6.4302636765768383E-3</v>
      </c>
      <c r="AI34" s="904">
        <v>1.2860527353153677E-2</v>
      </c>
      <c r="AJ34" s="435" t="s">
        <v>28</v>
      </c>
      <c r="AL34" s="195" t="s">
        <v>262</v>
      </c>
      <c r="AM34" s="198"/>
      <c r="AN34" s="197">
        <v>218.00217442300087</v>
      </c>
      <c r="AO34" s="198"/>
      <c r="AP34" s="199" t="s">
        <v>263</v>
      </c>
      <c r="AQ34" s="197">
        <v>404.14545899936797</v>
      </c>
      <c r="AR34" s="200">
        <v>459</v>
      </c>
      <c r="AS34" s="201" t="s">
        <v>264</v>
      </c>
      <c r="AT34" s="197">
        <v>393.0167245592956</v>
      </c>
      <c r="AU34" s="197"/>
      <c r="AV34" s="197"/>
      <c r="AW34" s="197">
        <v>453.43633014675243</v>
      </c>
      <c r="AX34" s="197">
        <v>374.10743238143135</v>
      </c>
      <c r="AY34" s="197">
        <v>353.10945644980598</v>
      </c>
      <c r="AZ34" s="197">
        <v>435.41345127856704</v>
      </c>
      <c r="BA34" s="197">
        <v>238.84733637599382</v>
      </c>
      <c r="BB34" s="197">
        <v>418.25623697421975</v>
      </c>
      <c r="BC34" s="197">
        <v>358.43120776115711</v>
      </c>
      <c r="BD34" s="199" t="s">
        <v>265</v>
      </c>
      <c r="BE34" s="196">
        <v>1.0317623389599195</v>
      </c>
      <c r="BF34" s="196">
        <v>4.0183074433328878</v>
      </c>
      <c r="BG34" s="198"/>
      <c r="BH34" s="196">
        <v>4.646867330420533</v>
      </c>
      <c r="BI34" s="198"/>
      <c r="BJ34" s="198"/>
      <c r="BK34" s="197">
        <v>384.44658294008462</v>
      </c>
      <c r="BL34" s="197">
        <v>44.569847549526067</v>
      </c>
      <c r="BM34" s="279">
        <v>1.2235881029433316E-2</v>
      </c>
      <c r="BN34" s="279">
        <v>8.6967374126485045E-2</v>
      </c>
      <c r="BO34" s="196">
        <v>2.7765352638249703</v>
      </c>
      <c r="BP34" s="197">
        <v>22.14770750364692</v>
      </c>
      <c r="BQ34" s="198"/>
      <c r="BR34" s="198"/>
      <c r="BS34" s="202"/>
      <c r="BT34" s="203">
        <v>43.45100021362299</v>
      </c>
      <c r="BU34" s="204">
        <v>2.0894775695073466</v>
      </c>
      <c r="BV34" s="202"/>
      <c r="BW34" s="202" t="s">
        <v>91</v>
      </c>
    </row>
    <row r="35" spans="1:75" ht="17" thickBot="1">
      <c r="A35" s="306" t="s">
        <v>1395</v>
      </c>
      <c r="B35" s="306" t="s">
        <v>6</v>
      </c>
      <c r="L35" s="1313">
        <f>J40/D40</f>
        <v>1.3876067728176558</v>
      </c>
      <c r="M35" s="1311">
        <f>L35*SQRT((K40/J40)^2+ (E40/D40)^2)</f>
        <v>1.320073214704247E-2</v>
      </c>
      <c r="N35" s="1315">
        <f>2*M35</f>
        <v>2.640146429408494E-2</v>
      </c>
      <c r="AB35" s="974">
        <f>J40/G40</f>
        <v>1.3491190542422997</v>
      </c>
      <c r="AC35" s="386">
        <f>AB35*SQRT((K40/J40)^2 + (H40/G40)^2)</f>
        <v>9.7698837507255894E-3</v>
      </c>
      <c r="AD35" s="1318">
        <f>2*AC35</f>
        <v>1.9539767501451179E-2</v>
      </c>
      <c r="AE35"/>
      <c r="AF35"/>
      <c r="AG35" s="1317">
        <f>G40/D40</f>
        <v>1.0285280372064507</v>
      </c>
      <c r="AH35" s="1317">
        <f>AG35*SQRT((E40/D40)^2 + (H40/G40)^2)</f>
        <v>9.0441043658906848E-3</v>
      </c>
      <c r="AI35" s="1318">
        <f>2*AH35</f>
        <v>1.808820873178137E-2</v>
      </c>
      <c r="AJ35" s="1317"/>
      <c r="AL35" s="195" t="s">
        <v>266</v>
      </c>
      <c r="AM35" s="198"/>
      <c r="AN35" s="197">
        <v>234.70052962462748</v>
      </c>
      <c r="AO35" s="198"/>
      <c r="AP35" s="199" t="s">
        <v>267</v>
      </c>
      <c r="AQ35" s="197">
        <v>416.87092473849032</v>
      </c>
      <c r="AR35" s="98">
        <v>459</v>
      </c>
      <c r="AS35" s="201" t="s">
        <v>268</v>
      </c>
      <c r="AT35" s="197">
        <v>422.06441069118165</v>
      </c>
      <c r="AU35" s="197"/>
      <c r="AV35" s="197"/>
      <c r="AW35" s="197">
        <v>472.59662900469061</v>
      </c>
      <c r="AX35" s="197">
        <v>388.04742017676449</v>
      </c>
      <c r="AY35" s="197">
        <v>365.88538869277698</v>
      </c>
      <c r="AZ35" s="197">
        <v>456.42268147595701</v>
      </c>
      <c r="BA35" s="197">
        <v>248.15209134799798</v>
      </c>
      <c r="BB35" s="197">
        <v>433.31417602888297</v>
      </c>
      <c r="BC35" s="197">
        <v>377.68889329897814</v>
      </c>
      <c r="BD35" s="198">
        <v>9.3691925753721997E-3</v>
      </c>
      <c r="BE35" s="196">
        <v>1.1089200389265217</v>
      </c>
      <c r="BF35" s="196">
        <v>3.4237149303952124</v>
      </c>
      <c r="BG35" s="198"/>
      <c r="BH35" s="196">
        <v>4.8275952551507233</v>
      </c>
      <c r="BI35" s="198"/>
      <c r="BJ35" s="198"/>
      <c r="BK35" s="197">
        <v>399.75839274985549</v>
      </c>
      <c r="BL35" s="197">
        <v>48.509234817357623</v>
      </c>
      <c r="BM35" s="279">
        <v>1.4537389370577178E-2</v>
      </c>
      <c r="BN35" s="279">
        <v>6.9008904370131088E-2</v>
      </c>
      <c r="BO35" s="196">
        <v>2.958359973966425</v>
      </c>
      <c r="BP35" s="197">
        <v>20.861522042073439</v>
      </c>
      <c r="BQ35" s="198"/>
      <c r="BR35" s="198"/>
      <c r="BS35" s="202"/>
      <c r="BT35" s="203">
        <v>40.055999755859396</v>
      </c>
      <c r="BU35" s="204">
        <v>1.8865529039337463</v>
      </c>
      <c r="BV35" s="202"/>
      <c r="BW35" s="202" t="s">
        <v>269</v>
      </c>
    </row>
    <row r="36" spans="1:75">
      <c r="A36" s="1262" t="s">
        <v>1395</v>
      </c>
      <c r="B36" s="306" t="s">
        <v>8</v>
      </c>
      <c r="L36" s="1314">
        <f>J41/D41</f>
        <v>2.011516014049016</v>
      </c>
      <c r="M36" s="1312">
        <f>L36*SQRT((K41/J41)^2+ (E41/D41)^2)</f>
        <v>0.23049040598437506</v>
      </c>
      <c r="N36" s="1316">
        <f>2*M36</f>
        <v>0.46098081196875013</v>
      </c>
      <c r="AB36" s="971">
        <f>J41/G41</f>
        <v>24.689102564102566</v>
      </c>
      <c r="AC36" s="972">
        <f>AB36*SQRT((K41/J41)^2 + (H41/G41)^2)</f>
        <v>1.3998516922455597</v>
      </c>
      <c r="AD36" s="1319">
        <f>2*AC36</f>
        <v>2.7997033844911194</v>
      </c>
      <c r="AE36"/>
      <c r="AF36"/>
      <c r="AG36" s="1525">
        <f>G41/D41</f>
        <v>8.1473840890989607E-2</v>
      </c>
      <c r="AH36" s="1353">
        <f>AG36*SQRT((E41/D41)^2 + (H41/G41)^2)</f>
        <v>1.0342035657427213E-2</v>
      </c>
      <c r="AI36" s="1524">
        <f>2*AH36</f>
        <v>2.0684071314854426E-2</v>
      </c>
      <c r="AJ36" s="1317"/>
      <c r="AL36" s="79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</row>
    <row r="37" spans="1:75">
      <c r="AL37" s="79" t="s">
        <v>95</v>
      </c>
      <c r="AM37" s="83">
        <v>450</v>
      </c>
      <c r="AN37" s="83">
        <v>408</v>
      </c>
      <c r="AO37" s="83">
        <v>444</v>
      </c>
      <c r="AP37" s="83">
        <v>458</v>
      </c>
      <c r="AQ37" s="83">
        <v>410</v>
      </c>
      <c r="AR37" s="83">
        <v>458.7</v>
      </c>
      <c r="AS37" s="83">
        <v>458.7</v>
      </c>
      <c r="AT37" s="83">
        <v>441</v>
      </c>
      <c r="AU37" s="83">
        <v>460</v>
      </c>
      <c r="AV37" s="83">
        <v>460</v>
      </c>
      <c r="AW37" s="83">
        <v>433</v>
      </c>
      <c r="AX37" s="83">
        <v>433</v>
      </c>
      <c r="AY37" s="83">
        <v>447</v>
      </c>
      <c r="AZ37" s="83">
        <v>447</v>
      </c>
      <c r="BA37" s="83">
        <v>325</v>
      </c>
      <c r="BB37" s="83">
        <v>417</v>
      </c>
      <c r="BC37" s="83">
        <v>417</v>
      </c>
      <c r="BD37" s="171" t="s">
        <v>94</v>
      </c>
      <c r="BE37" s="171">
        <v>1.29</v>
      </c>
      <c r="BF37" s="171">
        <v>1.05</v>
      </c>
      <c r="BG37" s="83">
        <v>251</v>
      </c>
      <c r="BH37" s="171">
        <v>1.05</v>
      </c>
      <c r="BI37" s="83">
        <v>430</v>
      </c>
      <c r="BJ37" s="83">
        <v>396</v>
      </c>
      <c r="BK37" s="83">
        <v>444</v>
      </c>
      <c r="BL37" s="83">
        <v>49</v>
      </c>
      <c r="BM37" s="171" t="s">
        <v>94</v>
      </c>
      <c r="BN37" s="171" t="s">
        <v>94</v>
      </c>
      <c r="BO37" s="171">
        <v>3.15</v>
      </c>
      <c r="BP37" s="171">
        <v>22.1</v>
      </c>
      <c r="BQ37" s="83">
        <v>426</v>
      </c>
      <c r="BR37" s="83">
        <v>357.7</v>
      </c>
      <c r="BS37" s="74"/>
      <c r="BT37" s="74"/>
      <c r="BU37" s="74"/>
      <c r="BV37" s="74"/>
      <c r="BW37" s="74"/>
    </row>
    <row r="38" spans="1:75" ht="17" thickBot="1">
      <c r="C38" s="397" t="s">
        <v>1235</v>
      </c>
      <c r="D38" s="742" t="s">
        <v>1340</v>
      </c>
      <c r="E38" s="743" t="s">
        <v>1236</v>
      </c>
      <c r="F38" s="386"/>
      <c r="G38" s="306"/>
      <c r="H38" s="306"/>
      <c r="I38" s="382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</row>
    <row r="39" spans="1:75" ht="34">
      <c r="C39" s="392"/>
      <c r="D39" s="746" t="s">
        <v>390</v>
      </c>
      <c r="E39" s="1349" t="s">
        <v>1346</v>
      </c>
      <c r="F39" s="1423" t="s">
        <v>1416</v>
      </c>
      <c r="G39" s="746" t="s">
        <v>389</v>
      </c>
      <c r="H39" s="757" t="s">
        <v>1347</v>
      </c>
      <c r="I39" s="1423" t="s">
        <v>1417</v>
      </c>
      <c r="J39" s="746" t="s">
        <v>388</v>
      </c>
      <c r="K39" s="757" t="s">
        <v>1348</v>
      </c>
      <c r="L39" s="1422" t="s">
        <v>1418</v>
      </c>
      <c r="O39" s="789"/>
      <c r="R39" s="727" t="s">
        <v>1402</v>
      </c>
      <c r="S39" s="744" t="s">
        <v>1341</v>
      </c>
      <c r="T39" s="744" t="s">
        <v>1342</v>
      </c>
      <c r="U39" s="745" t="s">
        <v>816</v>
      </c>
      <c r="V39" s="1360"/>
      <c r="W39" s="1360"/>
    </row>
    <row r="40" spans="1:75" ht="35" thickBot="1">
      <c r="C40" s="385" t="s">
        <v>6</v>
      </c>
      <c r="D40" s="1413">
        <v>60.815260000000009</v>
      </c>
      <c r="E40" s="382">
        <v>0.46192066622496364</v>
      </c>
      <c r="F40" s="1425" cm="1">
        <f t="array" ref="F40:F42">2*E40:E42</f>
        <v>0.92384133244992728</v>
      </c>
      <c r="G40" s="1413">
        <v>62.550199999999982</v>
      </c>
      <c r="H40" s="382">
        <v>0.27713366209586726</v>
      </c>
      <c r="I40" s="1425" cm="1">
        <f t="array" ref="I40:I42">2*H40:H42</f>
        <v>0.55426732419173452</v>
      </c>
      <c r="J40" s="1413">
        <v>84.387666666666675</v>
      </c>
      <c r="K40" s="382">
        <v>0.48338622490120647</v>
      </c>
      <c r="L40" s="1414" cm="1">
        <f t="array" ref="L40:L42">2*K40:K42</f>
        <v>0.96677244980241295</v>
      </c>
      <c r="O40" s="382"/>
      <c r="R40" s="389"/>
      <c r="S40" s="728" t="s">
        <v>1343</v>
      </c>
      <c r="T40" s="728" t="s">
        <v>1344</v>
      </c>
      <c r="U40" s="729" t="s">
        <v>1345</v>
      </c>
      <c r="V40" s="1360"/>
      <c r="W40" s="1360"/>
    </row>
    <row r="41" spans="1:75">
      <c r="C41" s="385" t="s">
        <v>8</v>
      </c>
      <c r="D41" s="1413">
        <v>7.6588999999999965</v>
      </c>
      <c r="E41" s="382">
        <v>0.87371895974177316</v>
      </c>
      <c r="F41" s="1425">
        <v>1.7474379194835463</v>
      </c>
      <c r="G41" s="725">
        <v>0.624</v>
      </c>
      <c r="H41" s="382">
        <v>3.4737107920301442E-2</v>
      </c>
      <c r="I41" s="382">
        <v>6.9474215840602885E-2</v>
      </c>
      <c r="J41" s="1413">
        <v>15.406000000000001</v>
      </c>
      <c r="K41" s="382">
        <v>0.16579944072720665</v>
      </c>
      <c r="L41" s="1414">
        <v>0.3315988814544133</v>
      </c>
      <c r="N41" s="1445" t="s">
        <v>1435</v>
      </c>
      <c r="O41" s="1445" t="s">
        <v>1436</v>
      </c>
      <c r="P41" s="306"/>
      <c r="Q41" s="306"/>
      <c r="R41" s="306"/>
      <c r="S41" s="306"/>
      <c r="T41" s="306"/>
      <c r="U41" s="306"/>
      <c r="V41" s="306"/>
      <c r="W41" s="306"/>
    </row>
    <row r="42" spans="1:75" ht="17" thickBot="1">
      <c r="C42" s="384" t="s">
        <v>380</v>
      </c>
      <c r="D42" s="1415">
        <v>30.220640000000003</v>
      </c>
      <c r="E42" s="383">
        <v>0.88635718637854854</v>
      </c>
      <c r="F42" s="1426">
        <v>1.7727143727570971</v>
      </c>
      <c r="G42" s="1415">
        <v>36.343599999999995</v>
      </c>
      <c r="H42" s="1352">
        <v>0.18786413530350338</v>
      </c>
      <c r="I42" s="1426">
        <v>0.37572827060700675</v>
      </c>
      <c r="J42" s="1351">
        <v>1.3583333333333334E-2</v>
      </c>
      <c r="K42" s="1352">
        <v>1.0448647875406772E-2</v>
      </c>
      <c r="L42" s="1350">
        <v>2.0897295750813543E-2</v>
      </c>
      <c r="N42" s="1551">
        <f>LN(L34)</f>
        <v>-9.357474121589858</v>
      </c>
      <c r="O42" s="1551">
        <f>LN(R3)</f>
        <v>-1.4827524110075774</v>
      </c>
      <c r="P42" s="306"/>
      <c r="Q42" s="306"/>
      <c r="R42" s="306"/>
      <c r="S42" s="306"/>
      <c r="T42" s="306"/>
      <c r="U42" s="306"/>
      <c r="V42" s="306"/>
      <c r="W42" s="306"/>
      <c r="AL42" s="718" t="s">
        <v>313</v>
      </c>
      <c r="AM42" s="73" t="s">
        <v>0</v>
      </c>
      <c r="AN42" s="74"/>
      <c r="AO42" s="74"/>
      <c r="AP42" s="173"/>
      <c r="AQ42" s="173"/>
      <c r="AR42" s="74"/>
      <c r="AS42" s="74"/>
      <c r="AT42" s="74"/>
      <c r="AU42" s="74"/>
      <c r="AV42" s="74"/>
      <c r="AW42" s="74"/>
      <c r="AX42" s="74"/>
      <c r="AY42" s="173"/>
      <c r="AZ42" s="173"/>
      <c r="BA42" s="173"/>
      <c r="BB42" s="173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</row>
    <row r="43" spans="1:75" ht="17" thickBot="1">
      <c r="C43" s="306" t="s">
        <v>379</v>
      </c>
      <c r="D43" s="382">
        <f>SUM(D40:D42)</f>
        <v>98.694800000000015</v>
      </c>
      <c r="E43" s="306"/>
      <c r="F43" s="306"/>
      <c r="G43" s="382">
        <f>SUM(G40:G42)</f>
        <v>99.51779999999998</v>
      </c>
      <c r="H43" s="306"/>
      <c r="I43" s="306"/>
      <c r="J43" s="382">
        <f>SUM(J40:J42)</f>
        <v>99.80725000000001</v>
      </c>
      <c r="K43" s="382"/>
      <c r="L43" s="306"/>
      <c r="M43" s="306"/>
      <c r="O43" s="306"/>
      <c r="P43" s="306"/>
      <c r="Q43" s="306"/>
      <c r="R43" s="306"/>
      <c r="S43" s="306"/>
      <c r="T43" s="306"/>
      <c r="U43" s="306"/>
      <c r="V43" s="306"/>
      <c r="W43" s="306"/>
      <c r="AL43" s="176"/>
      <c r="AM43" s="74" t="s">
        <v>219</v>
      </c>
      <c r="AN43" s="74"/>
      <c r="AO43" s="74"/>
      <c r="AP43" s="74"/>
      <c r="AQ43" s="173"/>
      <c r="AR43" s="74"/>
      <c r="AS43" s="74"/>
      <c r="AT43" s="74"/>
      <c r="AU43" s="74"/>
      <c r="AV43" s="75"/>
      <c r="AX43" s="76">
        <v>44321.592962962961</v>
      </c>
      <c r="AY43" s="75"/>
      <c r="AZ43" s="76"/>
      <c r="BA43" s="173"/>
      <c r="BB43" s="173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</row>
    <row r="44" spans="1:75">
      <c r="AL44" s="79" t="s">
        <v>2</v>
      </c>
      <c r="AM44" s="77" t="s">
        <v>3</v>
      </c>
      <c r="AN44" s="77" t="s">
        <v>4</v>
      </c>
      <c r="AO44" s="77" t="s">
        <v>5</v>
      </c>
      <c r="AP44" s="77" t="s">
        <v>6</v>
      </c>
      <c r="AQ44" s="77" t="s">
        <v>7</v>
      </c>
      <c r="AR44" s="78" t="s">
        <v>8</v>
      </c>
      <c r="AS44" s="77" t="s">
        <v>8</v>
      </c>
      <c r="AT44" s="77" t="s">
        <v>9</v>
      </c>
      <c r="AU44" s="77" t="s">
        <v>10</v>
      </c>
      <c r="AV44" s="77" t="s">
        <v>10</v>
      </c>
      <c r="AW44" s="77" t="s">
        <v>11</v>
      </c>
      <c r="AX44" s="77" t="s">
        <v>11</v>
      </c>
      <c r="AY44" s="77" t="s">
        <v>12</v>
      </c>
      <c r="AZ44" s="77" t="s">
        <v>12</v>
      </c>
      <c r="BA44" s="77" t="s">
        <v>13</v>
      </c>
      <c r="BB44" s="77" t="s">
        <v>14</v>
      </c>
      <c r="BC44" s="77" t="s">
        <v>14</v>
      </c>
      <c r="BD44" s="77" t="s">
        <v>15</v>
      </c>
      <c r="BE44" s="77" t="s">
        <v>16</v>
      </c>
      <c r="BF44" s="77" t="s">
        <v>17</v>
      </c>
      <c r="BG44" s="77" t="s">
        <v>18</v>
      </c>
      <c r="BH44" s="77" t="s">
        <v>17</v>
      </c>
      <c r="BI44" s="77" t="s">
        <v>19</v>
      </c>
      <c r="BJ44" s="77" t="s">
        <v>20</v>
      </c>
      <c r="BK44" s="77" t="s">
        <v>21</v>
      </c>
      <c r="BL44" s="77" t="s">
        <v>22</v>
      </c>
      <c r="BM44" s="77" t="s">
        <v>23</v>
      </c>
      <c r="BN44" s="77" t="s">
        <v>24</v>
      </c>
      <c r="BO44" s="77" t="s">
        <v>25</v>
      </c>
      <c r="BP44" s="77" t="s">
        <v>26</v>
      </c>
      <c r="BQ44" s="77" t="s">
        <v>27</v>
      </c>
      <c r="BR44" s="77" t="s">
        <v>28</v>
      </c>
      <c r="BS44" s="74"/>
      <c r="BT44" s="77" t="s">
        <v>29</v>
      </c>
      <c r="BU44" s="77" t="s">
        <v>30</v>
      </c>
      <c r="BV44" s="77"/>
      <c r="BW44" s="79" t="s">
        <v>31</v>
      </c>
    </row>
    <row r="45" spans="1:75">
      <c r="B45" s="1375" t="s">
        <v>483</v>
      </c>
      <c r="C45" s="1404">
        <f>(D42/32.06)/((D42/32.06)+(D41/58.69)+(D40/55.847))</f>
        <v>0.43598039065176725</v>
      </c>
      <c r="D45" s="1399" t="s">
        <v>1413</v>
      </c>
      <c r="E45" s="1403">
        <f>2*(C45^2)*SQRT(((((E42*32.06)/ D42^2)^2)*((D40/55.845)^2 + (D41/58.693)^2)^2) + (((E40/55.845)^2 + (E41/58.693)^2)*(32.06/D42)^2))</f>
        <v>1.5799918523207866E-2</v>
      </c>
      <c r="AL45" s="79" t="s">
        <v>32</v>
      </c>
      <c r="AM45" s="74">
        <v>51</v>
      </c>
      <c r="AN45" s="74">
        <v>53</v>
      </c>
      <c r="AO45" s="74">
        <v>55</v>
      </c>
      <c r="AP45" s="74">
        <v>57</v>
      </c>
      <c r="AQ45" s="74">
        <v>59</v>
      </c>
      <c r="AR45" s="80">
        <v>61</v>
      </c>
      <c r="AS45" s="74">
        <v>62</v>
      </c>
      <c r="AT45" s="74">
        <v>63</v>
      </c>
      <c r="AU45" s="74">
        <v>66</v>
      </c>
      <c r="AV45" s="74">
        <v>67</v>
      </c>
      <c r="AW45" s="74">
        <v>69</v>
      </c>
      <c r="AX45" s="74">
        <v>71</v>
      </c>
      <c r="AY45" s="74">
        <v>72</v>
      </c>
      <c r="AZ45" s="74">
        <v>73</v>
      </c>
      <c r="BA45" s="74">
        <v>75</v>
      </c>
      <c r="BB45" s="74">
        <v>95</v>
      </c>
      <c r="BC45" s="74">
        <v>97</v>
      </c>
      <c r="BD45" s="74">
        <v>101</v>
      </c>
      <c r="BE45" s="74">
        <v>103</v>
      </c>
      <c r="BF45" s="74">
        <v>105</v>
      </c>
      <c r="BG45" s="74">
        <v>107</v>
      </c>
      <c r="BH45" s="74">
        <v>108</v>
      </c>
      <c r="BI45" s="74">
        <v>118</v>
      </c>
      <c r="BJ45" s="74">
        <v>121</v>
      </c>
      <c r="BK45" s="74">
        <v>184</v>
      </c>
      <c r="BL45" s="74">
        <v>185</v>
      </c>
      <c r="BM45" s="74">
        <v>189</v>
      </c>
      <c r="BN45" s="74">
        <v>193</v>
      </c>
      <c r="BO45" s="74">
        <v>195</v>
      </c>
      <c r="BP45" s="74">
        <v>197</v>
      </c>
      <c r="BQ45" s="74">
        <v>208</v>
      </c>
      <c r="BR45" s="74">
        <v>209</v>
      </c>
      <c r="BS45" s="74"/>
      <c r="BT45" s="77" t="s">
        <v>33</v>
      </c>
      <c r="BU45" s="77" t="s">
        <v>34</v>
      </c>
      <c r="BV45" s="74"/>
      <c r="BW45" s="74"/>
    </row>
    <row r="46" spans="1:75">
      <c r="B46" s="1399" t="s">
        <v>1404</v>
      </c>
      <c r="C46" s="1404">
        <f>((D42-E42)/32.06)/(((D42-E42)/32.06)+((D41+E41)/58.69)+((D40+E40)/55.847))</f>
        <v>0.42407369375600379</v>
      </c>
      <c r="D46" s="1401" t="s">
        <v>1414</v>
      </c>
      <c r="E46" s="1403">
        <f>C45-C46</f>
        <v>1.1906696895763458E-2</v>
      </c>
      <c r="AL46" s="79"/>
      <c r="AM46" s="77" t="s">
        <v>35</v>
      </c>
      <c r="AN46" s="77" t="s">
        <v>35</v>
      </c>
      <c r="AO46" s="77" t="s">
        <v>35</v>
      </c>
      <c r="AP46" s="77" t="s">
        <v>35</v>
      </c>
      <c r="AQ46" s="77" t="s">
        <v>35</v>
      </c>
      <c r="AR46" s="81" t="s">
        <v>35</v>
      </c>
      <c r="AS46" s="77" t="s">
        <v>35</v>
      </c>
      <c r="AT46" s="77" t="s">
        <v>35</v>
      </c>
      <c r="AU46" s="77" t="s">
        <v>35</v>
      </c>
      <c r="AV46" s="77" t="s">
        <v>35</v>
      </c>
      <c r="AW46" s="77" t="s">
        <v>35</v>
      </c>
      <c r="AX46" s="77" t="s">
        <v>35</v>
      </c>
      <c r="AY46" s="77" t="s">
        <v>35</v>
      </c>
      <c r="AZ46" s="77" t="s">
        <v>35</v>
      </c>
      <c r="BA46" s="77" t="s">
        <v>35</v>
      </c>
      <c r="BB46" s="77" t="s">
        <v>35</v>
      </c>
      <c r="BC46" s="77" t="s">
        <v>35</v>
      </c>
      <c r="BD46" s="77" t="s">
        <v>35</v>
      </c>
      <c r="BE46" s="77" t="s">
        <v>35</v>
      </c>
      <c r="BF46" s="77" t="s">
        <v>35</v>
      </c>
      <c r="BG46" s="77" t="s">
        <v>35</v>
      </c>
      <c r="BH46" s="77" t="s">
        <v>35</v>
      </c>
      <c r="BI46" s="77" t="s">
        <v>35</v>
      </c>
      <c r="BJ46" s="77" t="s">
        <v>35</v>
      </c>
      <c r="BK46" s="77" t="s">
        <v>35</v>
      </c>
      <c r="BL46" s="77" t="s">
        <v>35</v>
      </c>
      <c r="BM46" s="77" t="s">
        <v>35</v>
      </c>
      <c r="BN46" s="77" t="s">
        <v>35</v>
      </c>
      <c r="BO46" s="77" t="s">
        <v>35</v>
      </c>
      <c r="BP46" s="77" t="s">
        <v>35</v>
      </c>
      <c r="BQ46" s="77" t="s">
        <v>35</v>
      </c>
      <c r="BR46" s="77" t="s">
        <v>35</v>
      </c>
      <c r="BS46" s="74"/>
      <c r="BT46" s="74"/>
      <c r="BU46" s="74"/>
      <c r="BV46" s="74"/>
      <c r="BW46" s="74"/>
    </row>
    <row r="47" spans="1:75">
      <c r="B47" s="1399" t="s">
        <v>1403</v>
      </c>
      <c r="C47" s="1404">
        <f>((D42+E42)/32.06)/(((D42+E42)/32.06)+((D41-E41)/58.69)+((D40-E40)/55.847))</f>
        <v>0.44783775188707903</v>
      </c>
      <c r="D47" s="1401" t="s">
        <v>1415</v>
      </c>
      <c r="E47" s="1403">
        <f>C47-C45</f>
        <v>1.1857361235311781E-2</v>
      </c>
      <c r="AL47" s="79"/>
      <c r="AM47" s="173"/>
      <c r="AN47" s="173"/>
      <c r="AO47" s="173"/>
      <c r="AP47" s="173"/>
      <c r="AQ47" s="173"/>
      <c r="AR47" s="174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</row>
    <row r="48" spans="1:75">
      <c r="AL48" s="79" t="s">
        <v>36</v>
      </c>
      <c r="AM48" s="171">
        <v>54.3</v>
      </c>
      <c r="AN48" s="83">
        <v>2646</v>
      </c>
      <c r="AO48" s="83">
        <v>1933</v>
      </c>
      <c r="AP48" s="83">
        <v>184300</v>
      </c>
      <c r="AQ48" s="83">
        <v>506</v>
      </c>
      <c r="AR48" s="84">
        <v>10770</v>
      </c>
      <c r="AS48" s="83">
        <v>10770</v>
      </c>
      <c r="AT48" s="83">
        <v>131</v>
      </c>
      <c r="AU48" s="83">
        <v>323</v>
      </c>
      <c r="AV48" s="83">
        <v>323</v>
      </c>
      <c r="AW48" s="82">
        <v>9.7100000000000009</v>
      </c>
      <c r="AX48" s="82">
        <v>9.7100000000000009</v>
      </c>
      <c r="AY48" s="171">
        <v>32.6</v>
      </c>
      <c r="AZ48" s="82">
        <v>32.6</v>
      </c>
      <c r="BA48" s="82">
        <v>1.81</v>
      </c>
      <c r="BB48" s="82">
        <v>0.92800000000000005</v>
      </c>
      <c r="BC48" s="82">
        <v>0.92800000000000005</v>
      </c>
      <c r="BD48" s="82">
        <v>0.68300000000000005</v>
      </c>
      <c r="BE48" s="82">
        <v>0.14000000000000001</v>
      </c>
      <c r="BF48" s="82">
        <v>0.55600000000000005</v>
      </c>
      <c r="BG48" s="82">
        <v>0.19700000000000001</v>
      </c>
      <c r="BH48" s="82">
        <v>0.55600000000000005</v>
      </c>
      <c r="BI48" s="82">
        <v>1.68</v>
      </c>
      <c r="BJ48" s="82">
        <v>0.13300000000000001</v>
      </c>
      <c r="BK48" s="82">
        <v>9.0300000000000005E-2</v>
      </c>
      <c r="BL48" s="82">
        <v>3.95E-2</v>
      </c>
      <c r="BM48" s="82">
        <v>0.50600000000000001</v>
      </c>
      <c r="BN48" s="82">
        <v>0.48</v>
      </c>
      <c r="BO48" s="82">
        <v>0.98199999999999998</v>
      </c>
      <c r="BP48" s="82">
        <v>0.14799999999999999</v>
      </c>
      <c r="BQ48" s="82">
        <v>2.5299999999999998</v>
      </c>
      <c r="BR48" s="82">
        <v>0.111</v>
      </c>
      <c r="BS48" s="74"/>
      <c r="BT48" s="74"/>
      <c r="BU48" s="74"/>
      <c r="BV48" s="74"/>
      <c r="BW48" s="74"/>
    </row>
    <row r="49" spans="3:75">
      <c r="AL49" s="79" t="s">
        <v>1351</v>
      </c>
      <c r="AM49" s="82">
        <v>1.7169705933502713E-2</v>
      </c>
      <c r="AN49" s="82">
        <v>0.48799119604122548</v>
      </c>
      <c r="AO49" s="82">
        <v>0.15676246675721661</v>
      </c>
      <c r="AP49" s="82">
        <v>21.554200285123354</v>
      </c>
      <c r="AQ49" s="82">
        <v>0.26269769616170757</v>
      </c>
      <c r="AR49" s="85">
        <v>2.6063711632307003</v>
      </c>
      <c r="AS49" s="82">
        <v>12.121415819013169</v>
      </c>
      <c r="AT49" s="82">
        <v>3.3691095339090461E-2</v>
      </c>
      <c r="AU49" s="795">
        <v>0.15042434054583489</v>
      </c>
      <c r="AV49" s="82">
        <v>0.45159009750426604</v>
      </c>
      <c r="AW49" s="795">
        <v>1.1751666939291212E-2</v>
      </c>
      <c r="AX49" s="82">
        <v>2.5828048045155146E-2</v>
      </c>
      <c r="AY49" s="795">
        <v>0.3764480221068901</v>
      </c>
      <c r="AZ49" s="82">
        <v>0.59627670443406866</v>
      </c>
      <c r="BA49" s="82">
        <v>6.3388665067234742E-2</v>
      </c>
      <c r="BB49" s="82">
        <v>1.5735097680504621E-2</v>
      </c>
      <c r="BC49" s="82">
        <v>2.3592708263119454E-2</v>
      </c>
      <c r="BD49" s="82"/>
      <c r="BE49" s="82">
        <v>3.0679870195572433E-3</v>
      </c>
      <c r="BF49" s="82">
        <v>3.2598583611713567E-3</v>
      </c>
      <c r="BG49" s="82">
        <v>1.8779406042340612E-2</v>
      </c>
      <c r="BH49" s="82">
        <v>3.8299324641398813E-3</v>
      </c>
      <c r="BI49" s="82">
        <v>4.9082151115949955E-2</v>
      </c>
      <c r="BJ49" s="82">
        <v>1.9024723910482828E-2</v>
      </c>
      <c r="BK49" s="82">
        <v>6.5933799823438008E-3</v>
      </c>
      <c r="BL49" s="82">
        <v>4.6576627507197406E-3</v>
      </c>
      <c r="BM49" s="82"/>
      <c r="BN49" s="82"/>
      <c r="BO49" s="82">
        <v>5.7693851840888545E-3</v>
      </c>
      <c r="BP49" s="82">
        <v>1.4639204956286948E-2</v>
      </c>
      <c r="BQ49" s="82">
        <v>6.7243576049694958E-3</v>
      </c>
      <c r="BR49" s="82">
        <v>2.832244035076498E-3</v>
      </c>
      <c r="BS49" s="74"/>
      <c r="BT49" s="74"/>
      <c r="BU49" s="74"/>
      <c r="BV49" s="74"/>
      <c r="BW49" s="74"/>
    </row>
    <row r="50" spans="3:75" ht="17" thickBot="1">
      <c r="C50" s="1563"/>
      <c r="AL50" s="79" t="s">
        <v>1352</v>
      </c>
      <c r="AM50" s="82">
        <v>3.4021207146243827E-2</v>
      </c>
      <c r="AN50" s="82">
        <v>0.55207476777607101</v>
      </c>
      <c r="AO50" s="82">
        <v>0.17586145641314654</v>
      </c>
      <c r="AP50" s="82">
        <v>27.480802698498003</v>
      </c>
      <c r="AQ50" s="82">
        <v>0.36349427255924432</v>
      </c>
      <c r="AR50" s="85">
        <v>4.3812115650780106</v>
      </c>
      <c r="AS50" s="82">
        <v>17.680113426564024</v>
      </c>
      <c r="AT50" s="82">
        <v>4.2679932394303441E-2</v>
      </c>
      <c r="AU50" s="82">
        <v>0.16099128729517248</v>
      </c>
      <c r="AV50" s="82">
        <v>0.59489409908847468</v>
      </c>
      <c r="AW50" s="82">
        <v>1.8283093503777725E-2</v>
      </c>
      <c r="AX50" s="82">
        <v>2.9531091668507498E-2</v>
      </c>
      <c r="AY50" s="82">
        <v>0.49149492543436446</v>
      </c>
      <c r="AZ50" s="82">
        <v>0.7727680411472625</v>
      </c>
      <c r="BA50" s="82">
        <v>9.2334634855926245E-2</v>
      </c>
      <c r="BB50" s="82">
        <v>1.7002401707381251E-2</v>
      </c>
      <c r="BC50" s="82">
        <v>2.759131690128161E-2</v>
      </c>
      <c r="BD50" s="82"/>
      <c r="BE50" s="82">
        <v>4.6046598762189781E-3</v>
      </c>
      <c r="BF50" s="82">
        <v>9.3659942254193228E-3</v>
      </c>
      <c r="BG50" s="82">
        <v>2.1844275161918638E-2</v>
      </c>
      <c r="BH50" s="82">
        <v>3.6189046229732759E-3</v>
      </c>
      <c r="BI50" s="82">
        <v>5.2899543799825921E-2</v>
      </c>
      <c r="BJ50" s="82">
        <v>3.0395406618036906E-2</v>
      </c>
      <c r="BK50" s="82">
        <v>1.0405353263849284E-2</v>
      </c>
      <c r="BL50" s="82">
        <v>5.6292158847001299E-3</v>
      </c>
      <c r="BM50" s="82"/>
      <c r="BN50" s="82"/>
      <c r="BO50" s="82">
        <v>4.2762716901782964E-3</v>
      </c>
      <c r="BP50" s="82">
        <v>1.2906576209187977E-2</v>
      </c>
      <c r="BQ50" s="82">
        <v>8.8896482027828808E-3</v>
      </c>
      <c r="BR50" s="82">
        <v>5.4964067605468162E-3</v>
      </c>
      <c r="BS50" s="74"/>
      <c r="BT50" s="74"/>
      <c r="BU50" s="74"/>
      <c r="BV50" s="74"/>
      <c r="BW50" s="74"/>
    </row>
    <row r="51" spans="3:75">
      <c r="AL51" s="280" t="s">
        <v>208</v>
      </c>
      <c r="AM51" s="87">
        <v>437.92923619506189</v>
      </c>
      <c r="AN51" s="87">
        <v>404.70051722367657</v>
      </c>
      <c r="AO51" s="87">
        <v>441.83151926314798</v>
      </c>
      <c r="AP51" s="281" t="s">
        <v>272</v>
      </c>
      <c r="AQ51" s="87">
        <v>405.62860366020294</v>
      </c>
      <c r="AR51" s="89">
        <v>459</v>
      </c>
      <c r="AS51" s="282" t="s">
        <v>273</v>
      </c>
      <c r="AT51" s="87">
        <v>443.32729281737574</v>
      </c>
      <c r="AU51" s="87">
        <v>460.10815199926537</v>
      </c>
      <c r="AV51" s="87">
        <v>458.14313626216455</v>
      </c>
      <c r="AW51" s="87">
        <v>428.81346825231924</v>
      </c>
      <c r="AX51" s="87">
        <v>423.84959408692237</v>
      </c>
      <c r="AY51" s="87">
        <v>434.67921573996301</v>
      </c>
      <c r="AZ51" s="87">
        <v>428.42966294531766</v>
      </c>
      <c r="BA51" s="87">
        <v>312.29522271157595</v>
      </c>
      <c r="BB51" s="87">
        <v>403.21619894610581</v>
      </c>
      <c r="BC51" s="87">
        <v>403.21438644766528</v>
      </c>
      <c r="BD51" s="88"/>
      <c r="BE51" s="90">
        <v>1.1961794219618993</v>
      </c>
      <c r="BF51" s="90">
        <v>1.1649818860341694</v>
      </c>
      <c r="BG51" s="87">
        <v>242.92895761715246</v>
      </c>
      <c r="BH51" s="90">
        <v>1.0440579051819994</v>
      </c>
      <c r="BI51" s="87">
        <v>421.7860836761792</v>
      </c>
      <c r="BJ51" s="87">
        <v>388.16759825810834</v>
      </c>
      <c r="BK51" s="87">
        <v>424.61296001503388</v>
      </c>
      <c r="BL51" s="87">
        <v>46.761333066689659</v>
      </c>
      <c r="BM51" s="88"/>
      <c r="BN51" s="88"/>
      <c r="BO51" s="90">
        <v>3.2855249446229799</v>
      </c>
      <c r="BP51" s="87">
        <v>21.218960703650676</v>
      </c>
      <c r="BQ51" s="87">
        <v>423.56241749930689</v>
      </c>
      <c r="BR51" s="87">
        <v>354.88250702907465</v>
      </c>
      <c r="BS51" s="91"/>
      <c r="BT51" s="92">
        <v>44.8090019226075</v>
      </c>
      <c r="BU51" s="93">
        <v>1.3585527582688415</v>
      </c>
      <c r="BV51" s="91"/>
      <c r="BW51" s="94" t="s">
        <v>223</v>
      </c>
    </row>
    <row r="52" spans="3:75" ht="17" thickBot="1">
      <c r="AL52" s="283" t="s">
        <v>209</v>
      </c>
      <c r="AM52" s="96">
        <v>462.53906304439096</v>
      </c>
      <c r="AN52" s="96">
        <v>411.80367232741099</v>
      </c>
      <c r="AO52" s="96">
        <v>446.73169709317239</v>
      </c>
      <c r="AP52" s="284" t="s">
        <v>274</v>
      </c>
      <c r="AQ52" s="96">
        <v>414.88499365764613</v>
      </c>
      <c r="AR52" s="98">
        <v>459</v>
      </c>
      <c r="AS52" s="285" t="s">
        <v>275</v>
      </c>
      <c r="AT52" s="96">
        <v>439.26121956692083</v>
      </c>
      <c r="AU52" s="96">
        <v>460.49094928992758</v>
      </c>
      <c r="AV52" s="96">
        <v>462.42102356802729</v>
      </c>
      <c r="AW52" s="96">
        <v>437.69893751508857</v>
      </c>
      <c r="AX52" s="96">
        <v>442.62688912139959</v>
      </c>
      <c r="AY52" s="96">
        <v>459.75953155336828</v>
      </c>
      <c r="AZ52" s="96">
        <v>465.90589371648053</v>
      </c>
      <c r="BA52" s="96">
        <v>337.91237712223239</v>
      </c>
      <c r="BB52" s="96">
        <v>431.20241533232547</v>
      </c>
      <c r="BC52" s="96">
        <v>431.19883056412027</v>
      </c>
      <c r="BD52" s="97"/>
      <c r="BE52" s="99">
        <v>1.3845492286203569</v>
      </c>
      <c r="BF52" s="99">
        <v>0.9324721430997196</v>
      </c>
      <c r="BG52" s="96">
        <v>259.31198135523863</v>
      </c>
      <c r="BH52" s="99">
        <v>1.0572928574349552</v>
      </c>
      <c r="BI52" s="96">
        <v>438.67605094209063</v>
      </c>
      <c r="BJ52" s="96">
        <v>404.22105981500334</v>
      </c>
      <c r="BK52" s="96">
        <v>463.71901453032103</v>
      </c>
      <c r="BL52" s="96">
        <v>51.266929705812807</v>
      </c>
      <c r="BM52" s="97"/>
      <c r="BN52" s="97"/>
      <c r="BO52" s="99">
        <v>3.0195791139338413</v>
      </c>
      <c r="BP52" s="96">
        <v>22.99686192336728</v>
      </c>
      <c r="BQ52" s="96">
        <v>428.94676102724384</v>
      </c>
      <c r="BR52" s="96">
        <v>360.93430790451237</v>
      </c>
      <c r="BS52" s="100"/>
      <c r="BT52" s="101">
        <v>41.4140014648438</v>
      </c>
      <c r="BU52" s="102">
        <v>1.1347755806090121</v>
      </c>
      <c r="BV52" s="100"/>
      <c r="BW52" s="103" t="s">
        <v>227</v>
      </c>
    </row>
    <row r="53" spans="3:75">
      <c r="AL53" s="286" t="s">
        <v>276</v>
      </c>
      <c r="AM53" s="105" t="s">
        <v>133</v>
      </c>
      <c r="AN53" s="106">
        <v>78.533616725555305</v>
      </c>
      <c r="AO53" s="107" t="s">
        <v>277</v>
      </c>
      <c r="AP53" s="106">
        <v>1478705.5231184224</v>
      </c>
      <c r="AQ53" s="106">
        <v>4688.3573097324352</v>
      </c>
      <c r="AR53" s="109">
        <v>55500</v>
      </c>
      <c r="AS53" s="106">
        <v>93997.076100179838</v>
      </c>
      <c r="AT53" s="106">
        <v>167.59157938040846</v>
      </c>
      <c r="AU53" s="110" t="s">
        <v>278</v>
      </c>
      <c r="AV53" s="111">
        <v>0.88528100181540637</v>
      </c>
      <c r="AW53" s="106">
        <v>59.181598142133716</v>
      </c>
      <c r="AX53" s="106">
        <v>69.633481417150279</v>
      </c>
      <c r="AY53" s="106">
        <v>257.3319173104988</v>
      </c>
      <c r="AZ53" s="106">
        <v>185.9378099269035</v>
      </c>
      <c r="BA53" s="111">
        <v>6.2601886263292688</v>
      </c>
      <c r="BB53" s="111">
        <v>7.5220393562470758</v>
      </c>
      <c r="BC53" s="111">
        <v>8.8938908489283097</v>
      </c>
      <c r="BD53" s="106"/>
      <c r="BE53" s="111">
        <v>2.5562540566431844</v>
      </c>
      <c r="BF53" s="108">
        <v>0.19024890167664846</v>
      </c>
      <c r="BG53" s="107" t="s">
        <v>279</v>
      </c>
      <c r="BH53" s="108">
        <v>0.27560717572252436</v>
      </c>
      <c r="BI53" s="107" t="s">
        <v>280</v>
      </c>
      <c r="BJ53" s="107" t="s">
        <v>281</v>
      </c>
      <c r="BK53" s="111">
        <v>3.6689518925741211</v>
      </c>
      <c r="BL53" s="111">
        <v>1.3355979677034264</v>
      </c>
      <c r="BM53" s="106"/>
      <c r="BN53" s="106"/>
      <c r="BO53" s="106">
        <v>32.244341060092147</v>
      </c>
      <c r="BP53" s="108">
        <v>0.60590079268762853</v>
      </c>
      <c r="BQ53" s="107" t="s">
        <v>57</v>
      </c>
      <c r="BR53" s="107" t="s">
        <v>57</v>
      </c>
      <c r="BS53" s="104"/>
      <c r="BT53" s="112">
        <v>44.130002975463896</v>
      </c>
      <c r="BU53" s="113">
        <v>0.38851303157607847</v>
      </c>
      <c r="BV53" s="104"/>
      <c r="BW53" s="104" t="s">
        <v>228</v>
      </c>
    </row>
    <row r="54" spans="3:75">
      <c r="AL54" s="286" t="s">
        <v>282</v>
      </c>
      <c r="AM54" s="110" t="s">
        <v>54</v>
      </c>
      <c r="AN54" s="106">
        <v>49.884028720244324</v>
      </c>
      <c r="AO54" s="107" t="s">
        <v>283</v>
      </c>
      <c r="AP54" s="106">
        <v>1402928.4558510457</v>
      </c>
      <c r="AQ54" s="106">
        <v>4574.9392206824277</v>
      </c>
      <c r="AR54" s="109">
        <v>55500</v>
      </c>
      <c r="AS54" s="106">
        <v>94660.269278672917</v>
      </c>
      <c r="AT54" s="106">
        <v>163.33323880592243</v>
      </c>
      <c r="AU54" s="110" t="s">
        <v>140</v>
      </c>
      <c r="AV54" s="110" t="s">
        <v>284</v>
      </c>
      <c r="AW54" s="106">
        <v>59.057856227548186</v>
      </c>
      <c r="AX54" s="106">
        <v>67.778695739254871</v>
      </c>
      <c r="AY54" s="106">
        <v>245.42161398839113</v>
      </c>
      <c r="AZ54" s="106">
        <v>181.30649505553333</v>
      </c>
      <c r="BA54" s="111">
        <v>5.9791647532013767</v>
      </c>
      <c r="BB54" s="111">
        <v>6.4925809194559134</v>
      </c>
      <c r="BC54" s="111">
        <v>8.1749167638692946</v>
      </c>
      <c r="BD54" s="106"/>
      <c r="BE54" s="111">
        <v>2.4456507711476676</v>
      </c>
      <c r="BF54" s="108">
        <v>0.19075750291594129</v>
      </c>
      <c r="BG54" s="107" t="s">
        <v>285</v>
      </c>
      <c r="BH54" s="108">
        <v>0.23797664773719965</v>
      </c>
      <c r="BI54" s="107" t="s">
        <v>286</v>
      </c>
      <c r="BJ54" s="107" t="s">
        <v>74</v>
      </c>
      <c r="BK54" s="111">
        <v>3.031639190147061</v>
      </c>
      <c r="BL54" s="111">
        <v>1.2989289946736085</v>
      </c>
      <c r="BM54" s="111"/>
      <c r="BN54" s="106"/>
      <c r="BO54" s="106">
        <v>30.013449787870865</v>
      </c>
      <c r="BP54" s="108">
        <v>0.52888096825771169</v>
      </c>
      <c r="BQ54" s="107">
        <v>3.1269275871067231E-2</v>
      </c>
      <c r="BR54" s="107" t="s">
        <v>123</v>
      </c>
      <c r="BS54" s="104"/>
      <c r="BT54" s="112">
        <v>44.130002975463896</v>
      </c>
      <c r="BU54" s="113">
        <v>0.4703092251509709</v>
      </c>
      <c r="BV54" s="104"/>
      <c r="BW54" s="104" t="s">
        <v>229</v>
      </c>
    </row>
    <row r="55" spans="3:75">
      <c r="AL55" s="211" t="s">
        <v>230</v>
      </c>
      <c r="AM55" s="115" t="s">
        <v>131</v>
      </c>
      <c r="AN55" s="116">
        <v>298.78742865906707</v>
      </c>
      <c r="AO55" s="115" t="s">
        <v>287</v>
      </c>
      <c r="AP55" s="116">
        <v>1354720.5604087976</v>
      </c>
      <c r="AQ55" s="116">
        <v>4330.2468442580102</v>
      </c>
      <c r="AR55" s="118">
        <v>56500</v>
      </c>
      <c r="AS55" s="116">
        <v>94926.049665985818</v>
      </c>
      <c r="AT55" s="116">
        <v>155.96004788575848</v>
      </c>
      <c r="AU55" s="275" t="s">
        <v>288</v>
      </c>
      <c r="AV55" s="115" t="s">
        <v>289</v>
      </c>
      <c r="AW55" s="116">
        <v>53.523536394306198</v>
      </c>
      <c r="AX55" s="116">
        <v>63.622253564498223</v>
      </c>
      <c r="AY55" s="116">
        <v>228.49880652836723</v>
      </c>
      <c r="AZ55" s="116">
        <v>164.08608922806295</v>
      </c>
      <c r="BA55" s="119">
        <v>6.4288246846521737</v>
      </c>
      <c r="BB55" s="119">
        <v>7.8116255215509893</v>
      </c>
      <c r="BC55" s="119">
        <v>8.1811772998161914</v>
      </c>
      <c r="BD55" s="116"/>
      <c r="BE55" s="119">
        <v>2.3190805015828726</v>
      </c>
      <c r="BF55" s="117">
        <v>0.17200746306377318</v>
      </c>
      <c r="BG55" s="115" t="s">
        <v>104</v>
      </c>
      <c r="BH55" s="117">
        <v>0.30406072896751019</v>
      </c>
      <c r="BI55" s="115" t="s">
        <v>290</v>
      </c>
      <c r="BJ55" s="115" t="s">
        <v>128</v>
      </c>
      <c r="BK55" s="119">
        <v>2.6036794625778708</v>
      </c>
      <c r="BL55" s="117">
        <v>0.17588928897786418</v>
      </c>
      <c r="BM55" s="117"/>
      <c r="BN55" s="119"/>
      <c r="BO55" s="116">
        <v>22.606633873386709</v>
      </c>
      <c r="BP55" s="117">
        <v>0.63174129819636726</v>
      </c>
      <c r="BQ55" s="115" t="s">
        <v>58</v>
      </c>
      <c r="BR55" s="287">
        <v>4.9385147548546646E-3</v>
      </c>
      <c r="BS55" s="114"/>
      <c r="BT55" s="120">
        <v>46.845001220703196</v>
      </c>
      <c r="BU55" s="121">
        <v>0.47751503713162263</v>
      </c>
      <c r="BV55" s="114"/>
      <c r="BW55" s="114" t="s">
        <v>231</v>
      </c>
    </row>
    <row r="56" spans="3:75">
      <c r="AL56" s="288" t="s">
        <v>232</v>
      </c>
      <c r="AM56" s="123" t="s">
        <v>211</v>
      </c>
      <c r="AN56" s="123" t="s">
        <v>291</v>
      </c>
      <c r="AO56" s="123" t="s">
        <v>210</v>
      </c>
      <c r="AP56" s="125">
        <v>1348594.8084103232</v>
      </c>
      <c r="AQ56" s="125">
        <v>532.74625520379607</v>
      </c>
      <c r="AR56" s="126">
        <v>154100</v>
      </c>
      <c r="AS56" s="125">
        <v>274761.09183166601</v>
      </c>
      <c r="AT56" s="125">
        <v>123.79106768834902</v>
      </c>
      <c r="AU56" s="125">
        <v>51.386426983709953</v>
      </c>
      <c r="AV56" s="125">
        <v>41.036358304020112</v>
      </c>
      <c r="AW56" s="125">
        <v>179.36871922650141</v>
      </c>
      <c r="AX56" s="125">
        <v>199.41278897680516</v>
      </c>
      <c r="AY56" s="125">
        <v>291.27960636341419</v>
      </c>
      <c r="AZ56" s="125">
        <v>226.15998595989873</v>
      </c>
      <c r="BA56" s="125">
        <v>102.01765905733959</v>
      </c>
      <c r="BB56" s="125">
        <v>331.23905972446204</v>
      </c>
      <c r="BC56" s="125">
        <v>328.08141114624112</v>
      </c>
      <c r="BD56" s="125"/>
      <c r="BE56" s="125">
        <v>301.75460049248801</v>
      </c>
      <c r="BF56" s="125">
        <v>21.857146973605808</v>
      </c>
      <c r="BG56" s="124">
        <v>0.35879278089043998</v>
      </c>
      <c r="BH56" s="125">
        <v>33.394554296380846</v>
      </c>
      <c r="BI56" s="125">
        <v>147.93214336652079</v>
      </c>
      <c r="BJ56" s="125">
        <v>159.99308282674104</v>
      </c>
      <c r="BK56" s="125">
        <v>339.49016738992481</v>
      </c>
      <c r="BL56" s="125">
        <v>26.178572624923397</v>
      </c>
      <c r="BM56" s="125"/>
      <c r="BN56" s="289"/>
      <c r="BO56" s="125">
        <v>125.45348445123476</v>
      </c>
      <c r="BP56" s="125">
        <v>387.36541696703898</v>
      </c>
      <c r="BQ56" s="123" t="s">
        <v>120</v>
      </c>
      <c r="BR56" s="123" t="s">
        <v>123</v>
      </c>
      <c r="BS56" s="127"/>
      <c r="BT56" s="128">
        <v>40.735000610351591</v>
      </c>
      <c r="BU56" s="129">
        <v>0.35027713046934217</v>
      </c>
      <c r="BV56" s="127"/>
      <c r="BW56" s="130" t="s">
        <v>234</v>
      </c>
    </row>
    <row r="57" spans="3:75">
      <c r="AL57" s="292" t="s">
        <v>244</v>
      </c>
      <c r="AM57" s="272" t="s">
        <v>115</v>
      </c>
      <c r="AN57" s="209" t="s">
        <v>294</v>
      </c>
      <c r="AO57" s="209" t="s">
        <v>295</v>
      </c>
      <c r="AP57" s="155">
        <v>1302169.4774389199</v>
      </c>
      <c r="AQ57" s="155">
        <v>498.37095088836867</v>
      </c>
      <c r="AR57" s="156">
        <v>154100</v>
      </c>
      <c r="AS57" s="155">
        <v>242048.90879123131</v>
      </c>
      <c r="AT57" s="155">
        <v>125.64770658284196</v>
      </c>
      <c r="AU57" s="155">
        <v>46.396878715986432</v>
      </c>
      <c r="AV57" s="155">
        <v>32.740260636444447</v>
      </c>
      <c r="AW57" s="155">
        <v>162.97960958675574</v>
      </c>
      <c r="AX57" s="155">
        <v>209.89847570121589</v>
      </c>
      <c r="AY57" s="155">
        <v>406.35618233860743</v>
      </c>
      <c r="AZ57" s="155">
        <v>357.02722555742054</v>
      </c>
      <c r="BA57" s="155">
        <v>100.12069162293389</v>
      </c>
      <c r="BB57" s="155">
        <v>308.04875560825496</v>
      </c>
      <c r="BC57" s="155">
        <v>304.37251556830228</v>
      </c>
      <c r="BD57" s="155"/>
      <c r="BE57" s="155">
        <v>299.24445440261161</v>
      </c>
      <c r="BF57" s="155">
        <v>26.125062304153563</v>
      </c>
      <c r="BG57" s="155">
        <v>0.31136785933263517</v>
      </c>
      <c r="BH57" s="155">
        <v>29.655991775154874</v>
      </c>
      <c r="BI57" s="155">
        <v>129.61728891956315</v>
      </c>
      <c r="BJ57" s="155">
        <v>152.24738537532701</v>
      </c>
      <c r="BK57" s="155">
        <v>347.633110022268</v>
      </c>
      <c r="BL57" s="155">
        <v>109.47962242066484</v>
      </c>
      <c r="BM57" s="155"/>
      <c r="BN57" s="155"/>
      <c r="BO57" s="155">
        <v>287.64116803249794</v>
      </c>
      <c r="BP57" s="155">
        <v>329.67769328158653</v>
      </c>
      <c r="BQ57" s="210">
        <v>1.1301206827231266E-2</v>
      </c>
      <c r="BR57" s="210">
        <v>2.3667296531736149E-2</v>
      </c>
      <c r="BS57" s="157"/>
      <c r="BT57" s="158">
        <v>41.413999557495096</v>
      </c>
      <c r="BU57" s="159">
        <v>0.24646978953419127</v>
      </c>
      <c r="BV57" s="157"/>
      <c r="BW57" s="160" t="s">
        <v>246</v>
      </c>
    </row>
    <row r="58" spans="3:75">
      <c r="AL58" s="292" t="s">
        <v>247</v>
      </c>
      <c r="AM58" s="272" t="s">
        <v>160</v>
      </c>
      <c r="AN58" s="272" t="s">
        <v>296</v>
      </c>
      <c r="AO58" s="272" t="s">
        <v>297</v>
      </c>
      <c r="AP58" s="155">
        <v>1245383.684086917</v>
      </c>
      <c r="AQ58" s="155">
        <v>466.50653756916898</v>
      </c>
      <c r="AR58" s="156">
        <v>154100</v>
      </c>
      <c r="AS58" s="155">
        <v>246662.01308296097</v>
      </c>
      <c r="AT58" s="155">
        <v>117.36014089525</v>
      </c>
      <c r="AU58" s="155">
        <v>39.952358448211747</v>
      </c>
      <c r="AV58" s="155">
        <v>32.113361921859038</v>
      </c>
      <c r="AW58" s="155">
        <v>149.835772349145</v>
      </c>
      <c r="AX58" s="155">
        <v>186.05232657651135</v>
      </c>
      <c r="AY58" s="155">
        <v>309.76942506343886</v>
      </c>
      <c r="AZ58" s="155">
        <v>275.19024823810355</v>
      </c>
      <c r="BA58" s="155">
        <v>93.613756763846865</v>
      </c>
      <c r="BB58" s="155">
        <v>309.61495637625666</v>
      </c>
      <c r="BC58" s="155">
        <v>305.49159529005021</v>
      </c>
      <c r="BD58" s="155"/>
      <c r="BE58" s="155">
        <v>275.79427879011422</v>
      </c>
      <c r="BF58" s="155">
        <v>27.932108628771115</v>
      </c>
      <c r="BG58" s="155">
        <v>0.28749626862700522</v>
      </c>
      <c r="BH58" s="155">
        <v>30.407030586223037</v>
      </c>
      <c r="BI58" s="155">
        <v>131.83786845590376</v>
      </c>
      <c r="BJ58" s="155">
        <v>146.4188688253669</v>
      </c>
      <c r="BK58" s="155">
        <v>324.60279507831717</v>
      </c>
      <c r="BL58" s="155">
        <v>33.884954520825723</v>
      </c>
      <c r="BM58" s="155"/>
      <c r="BN58" s="155"/>
      <c r="BO58" s="155">
        <v>177.90620415852055</v>
      </c>
      <c r="BP58" s="155">
        <v>366.13567822642352</v>
      </c>
      <c r="BQ58" s="210">
        <v>1.354813262354696E-2</v>
      </c>
      <c r="BR58" s="210">
        <v>1.7724906768737503E-2</v>
      </c>
      <c r="BS58" s="157"/>
      <c r="BT58" s="158">
        <v>46.166002273559599</v>
      </c>
      <c r="BU58" s="159">
        <v>0.24261245752292041</v>
      </c>
      <c r="BV58" s="157"/>
      <c r="BW58" s="160" t="s">
        <v>249</v>
      </c>
    </row>
    <row r="59" spans="3:75">
      <c r="AL59" s="609" t="s">
        <v>1144</v>
      </c>
      <c r="AM59" s="153" t="s">
        <v>156</v>
      </c>
      <c r="AN59" s="153" t="s">
        <v>1162</v>
      </c>
      <c r="AO59" s="153" t="s">
        <v>846</v>
      </c>
      <c r="AP59" s="155">
        <v>1118064.9271831906</v>
      </c>
      <c r="AQ59" s="155">
        <v>475.51717821371926</v>
      </c>
      <c r="AR59" s="156">
        <v>154100</v>
      </c>
      <c r="AS59" s="155"/>
      <c r="AT59" s="155">
        <v>112.44579973127347</v>
      </c>
      <c r="AU59" s="155">
        <v>34.687660959650664</v>
      </c>
      <c r="AV59" s="155">
        <v>19.23</v>
      </c>
      <c r="AW59" s="155">
        <v>140.81171736761192</v>
      </c>
      <c r="AX59" s="155">
        <v>185.54186814930537</v>
      </c>
      <c r="AY59" s="155">
        <v>302.3781082090689</v>
      </c>
      <c r="AZ59" s="155">
        <v>244.13024880463453</v>
      </c>
      <c r="BA59" s="155">
        <v>84.121449755883461</v>
      </c>
      <c r="BB59" s="155">
        <v>300.75173089324699</v>
      </c>
      <c r="BC59" s="155">
        <v>293.04220376434336</v>
      </c>
      <c r="BD59" s="155"/>
      <c r="BE59" s="155">
        <v>250.47309971265324</v>
      </c>
      <c r="BF59" s="155">
        <v>45.141948283188171</v>
      </c>
      <c r="BG59" s="610" t="s">
        <v>281</v>
      </c>
      <c r="BH59" s="155">
        <v>31.455500130274569</v>
      </c>
      <c r="BI59" s="155">
        <v>124.5458941728787</v>
      </c>
      <c r="BJ59" s="155">
        <v>135.44897173071917</v>
      </c>
      <c r="BK59" s="155">
        <v>310.34896295803765</v>
      </c>
      <c r="BL59" s="155">
        <v>53.237491222832119</v>
      </c>
      <c r="BM59" s="155"/>
      <c r="BN59" s="155"/>
      <c r="BO59" s="155">
        <v>183.17353105301532</v>
      </c>
      <c r="BP59" s="155">
        <v>335.95403489114352</v>
      </c>
      <c r="BQ59" s="153" t="s">
        <v>54</v>
      </c>
      <c r="BR59" s="153" t="s">
        <v>211</v>
      </c>
      <c r="BS59" s="157"/>
      <c r="BT59" s="158">
        <v>39.377002716064496</v>
      </c>
      <c r="BU59" s="159">
        <v>0.24067824570161711</v>
      </c>
      <c r="BV59" s="157"/>
      <c r="BW59" s="611" t="s">
        <v>1146</v>
      </c>
    </row>
    <row r="60" spans="3:75">
      <c r="AL60" s="609" t="s">
        <v>1147</v>
      </c>
      <c r="AM60" s="153" t="s">
        <v>636</v>
      </c>
      <c r="AN60" s="153" t="s">
        <v>1163</v>
      </c>
      <c r="AO60" s="153" t="s">
        <v>852</v>
      </c>
      <c r="AP60" s="155">
        <v>1254389.8584202612</v>
      </c>
      <c r="AQ60" s="155">
        <v>508.15850947297099</v>
      </c>
      <c r="AR60" s="156">
        <v>154100</v>
      </c>
      <c r="AS60" s="155"/>
      <c r="AT60" s="155">
        <v>125.22778379434118</v>
      </c>
      <c r="AU60" s="155">
        <v>36.102982837907909</v>
      </c>
      <c r="AV60" s="155">
        <v>26.16254430760749</v>
      </c>
      <c r="AW60" s="155">
        <v>156.35764560212505</v>
      </c>
      <c r="AX60" s="155">
        <v>188.21330242003364</v>
      </c>
      <c r="AY60" s="155">
        <v>339.44526472622073</v>
      </c>
      <c r="AZ60" s="155">
        <v>289.7242550497856</v>
      </c>
      <c r="BA60" s="155">
        <v>92.400573781578785</v>
      </c>
      <c r="BB60" s="155">
        <v>314.86758834534879</v>
      </c>
      <c r="BC60" s="155">
        <v>305.73787332778755</v>
      </c>
      <c r="BD60" s="155"/>
      <c r="BE60" s="155">
        <v>280.27856896175433</v>
      </c>
      <c r="BF60" s="155">
        <v>48.421972777260606</v>
      </c>
      <c r="BG60" s="153" t="s">
        <v>55</v>
      </c>
      <c r="BH60" s="155">
        <v>31.563805109400676</v>
      </c>
      <c r="BI60" s="155">
        <v>130.99045389441392</v>
      </c>
      <c r="BJ60" s="155">
        <v>135.59649066945826</v>
      </c>
      <c r="BK60" s="155">
        <v>345.43989783744036</v>
      </c>
      <c r="BL60" s="155">
        <v>79.768996819310999</v>
      </c>
      <c r="BM60" s="155"/>
      <c r="BN60" s="155"/>
      <c r="BO60" s="155">
        <v>221.58313165976236</v>
      </c>
      <c r="BP60" s="155">
        <v>350.0259044122767</v>
      </c>
      <c r="BQ60" s="154">
        <v>3.0905511120367737E-2</v>
      </c>
      <c r="BR60" s="153" t="s">
        <v>214</v>
      </c>
      <c r="BS60" s="157"/>
      <c r="BT60" s="158">
        <v>45.488002777099595</v>
      </c>
      <c r="BU60" s="159">
        <v>0.27320179808260059</v>
      </c>
      <c r="BV60" s="157"/>
      <c r="BW60" s="611" t="s">
        <v>1149</v>
      </c>
    </row>
    <row r="61" spans="3:75">
      <c r="AL61" s="290" t="s">
        <v>235</v>
      </c>
      <c r="AM61" s="131">
        <v>55.483806969850093</v>
      </c>
      <c r="AN61" s="131">
        <v>166.90860508959659</v>
      </c>
      <c r="AO61" s="131">
        <v>711.75284417531759</v>
      </c>
      <c r="AP61" s="131">
        <v>906280.26200381538</v>
      </c>
      <c r="AQ61" s="131">
        <v>28.281925467585349</v>
      </c>
      <c r="AR61" s="132">
        <v>6200</v>
      </c>
      <c r="AS61" s="131">
        <v>9666.3599774924332</v>
      </c>
      <c r="AT61" s="131">
        <v>156.4930297621047</v>
      </c>
      <c r="AU61" s="131">
        <v>287.43470611466114</v>
      </c>
      <c r="AV61" s="131">
        <v>206.45557176484394</v>
      </c>
      <c r="AW61" s="133">
        <v>0.16150561910538144</v>
      </c>
      <c r="AX61" s="133">
        <v>0.21790958389585505</v>
      </c>
      <c r="AY61" s="131">
        <v>23.106318826782868</v>
      </c>
      <c r="AZ61" s="135">
        <v>3.4385026109696692</v>
      </c>
      <c r="BA61" s="134" t="s">
        <v>194</v>
      </c>
      <c r="BB61" s="131">
        <v>179.55162041430447</v>
      </c>
      <c r="BC61" s="131">
        <v>173.7138946192583</v>
      </c>
      <c r="BD61" s="134"/>
      <c r="BE61" s="133">
        <v>5.9763905234363673E-2</v>
      </c>
      <c r="BF61" s="133">
        <v>9.8345620617632259E-2</v>
      </c>
      <c r="BG61" s="135">
        <v>5.1166762044790852</v>
      </c>
      <c r="BH61" s="133">
        <v>0.13175156048704387</v>
      </c>
      <c r="BI61" s="135">
        <v>1.4336086099392094</v>
      </c>
      <c r="BJ61" s="133">
        <v>0.50178743504325929</v>
      </c>
      <c r="BK61" s="133">
        <v>0.97863425306785845</v>
      </c>
      <c r="BL61" s="134" t="s">
        <v>58</v>
      </c>
      <c r="BM61" s="131"/>
      <c r="BN61" s="131"/>
      <c r="BO61" s="134" t="s">
        <v>58</v>
      </c>
      <c r="BP61" s="135">
        <v>1.3833143833270813</v>
      </c>
      <c r="BQ61" s="133">
        <v>1.3323226481262904</v>
      </c>
      <c r="BR61" s="133">
        <v>0.85655041929573073</v>
      </c>
      <c r="BS61" s="136"/>
      <c r="BT61" s="137">
        <v>46.166000366210895</v>
      </c>
      <c r="BU61" s="138">
        <v>1.0154626017071737</v>
      </c>
      <c r="BV61" s="136"/>
      <c r="BW61" s="139" t="s">
        <v>236</v>
      </c>
    </row>
    <row r="62" spans="3:75">
      <c r="AL62" s="290" t="s">
        <v>237</v>
      </c>
      <c r="AM62" s="131">
        <v>53.139232330476297</v>
      </c>
      <c r="AN62" s="131">
        <v>150.44916640807594</v>
      </c>
      <c r="AO62" s="131">
        <v>673.53484168424291</v>
      </c>
      <c r="AP62" s="131">
        <v>864532.91352660873</v>
      </c>
      <c r="AQ62" s="131">
        <v>28.025411127990061</v>
      </c>
      <c r="AR62" s="132">
        <v>6200</v>
      </c>
      <c r="AS62" s="131">
        <v>9934.0988494193971</v>
      </c>
      <c r="AT62" s="131">
        <v>149.25330319330078</v>
      </c>
      <c r="AU62" s="131">
        <v>248.22261259704356</v>
      </c>
      <c r="AV62" s="131">
        <v>199.65145404431561</v>
      </c>
      <c r="AW62" s="133">
        <v>0.27395944394575744</v>
      </c>
      <c r="AX62" s="133">
        <v>0.41095425047197442</v>
      </c>
      <c r="AY62" s="131">
        <v>23.29558889674955</v>
      </c>
      <c r="AZ62" s="276" t="s">
        <v>292</v>
      </c>
      <c r="BA62" s="134" t="s">
        <v>293</v>
      </c>
      <c r="BB62" s="131">
        <v>166.84011805605365</v>
      </c>
      <c r="BC62" s="131">
        <v>169.41532307701135</v>
      </c>
      <c r="BD62" s="133"/>
      <c r="BE62" s="133">
        <v>4.0564703541553698E-2</v>
      </c>
      <c r="BF62" s="133">
        <v>2.6992576257628041E-2</v>
      </c>
      <c r="BG62" s="135">
        <v>5.0273499006513838</v>
      </c>
      <c r="BH62" s="133">
        <v>4.0812834249799146E-2</v>
      </c>
      <c r="BI62" s="133">
        <v>0.27502952427981009</v>
      </c>
      <c r="BJ62" s="133">
        <v>0.18511558019933469</v>
      </c>
      <c r="BK62" s="133">
        <v>0.85507571324421783</v>
      </c>
      <c r="BL62" s="134" t="s">
        <v>239</v>
      </c>
      <c r="BM62" s="131"/>
      <c r="BN62" s="131"/>
      <c r="BO62" s="134" t="s">
        <v>58</v>
      </c>
      <c r="BP62" s="133">
        <v>0.89172340989435817</v>
      </c>
      <c r="BQ62" s="133">
        <v>0.10168243869977976</v>
      </c>
      <c r="BR62" s="133">
        <v>0.22324951172520235</v>
      </c>
      <c r="BS62" s="136"/>
      <c r="BT62" s="137">
        <v>14.937000274658203</v>
      </c>
      <c r="BU62" s="138">
        <v>1.0418261866063767</v>
      </c>
      <c r="BV62" s="136"/>
      <c r="BW62" s="139" t="s">
        <v>240</v>
      </c>
    </row>
    <row r="63" spans="3:75">
      <c r="AL63" s="290" t="s">
        <v>241</v>
      </c>
      <c r="AM63" s="131">
        <v>56.036775593553159</v>
      </c>
      <c r="AN63" s="131">
        <v>175.37634331864882</v>
      </c>
      <c r="AO63" s="131">
        <v>718.58679793263389</v>
      </c>
      <c r="AP63" s="131">
        <v>948570.44388877915</v>
      </c>
      <c r="AQ63" s="131">
        <v>29.439722283218451</v>
      </c>
      <c r="AR63" s="132">
        <v>6200</v>
      </c>
      <c r="AS63" s="131">
        <v>9735.2430006431114</v>
      </c>
      <c r="AT63" s="131">
        <v>153.10308892420298</v>
      </c>
      <c r="AU63" s="131">
        <v>267.04766804940857</v>
      </c>
      <c r="AV63" s="131">
        <v>210.15202761053797</v>
      </c>
      <c r="AW63" s="133">
        <v>9.0368987427749251E-2</v>
      </c>
      <c r="AX63" s="134" t="s">
        <v>56</v>
      </c>
      <c r="AY63" s="131">
        <v>23.786762136624485</v>
      </c>
      <c r="AZ63" s="135">
        <v>5.0057985264296097</v>
      </c>
      <c r="BA63" s="134" t="s">
        <v>128</v>
      </c>
      <c r="BB63" s="131">
        <v>179.70018808812245</v>
      </c>
      <c r="BC63" s="131">
        <v>181.80308971959028</v>
      </c>
      <c r="BD63" s="133"/>
      <c r="BE63" s="133">
        <v>3.927191215484508E-2</v>
      </c>
      <c r="BF63" s="133">
        <v>3.0336000383554992E-2</v>
      </c>
      <c r="BG63" s="135">
        <v>3.3051080769861487</v>
      </c>
      <c r="BH63" s="133">
        <v>3.2454162622029638E-2</v>
      </c>
      <c r="BI63" s="291" t="s">
        <v>128</v>
      </c>
      <c r="BJ63" s="133">
        <v>0.1785061225060704</v>
      </c>
      <c r="BK63" s="135">
        <v>1.2336136432420697</v>
      </c>
      <c r="BL63" s="134" t="s">
        <v>239</v>
      </c>
      <c r="BM63" s="131"/>
      <c r="BN63" s="208"/>
      <c r="BO63" s="134" t="s">
        <v>214</v>
      </c>
      <c r="BP63" s="135">
        <v>0.98755354996464606</v>
      </c>
      <c r="BQ63" s="133">
        <v>0.1085200444055886</v>
      </c>
      <c r="BR63" s="133">
        <v>0.28437469955275496</v>
      </c>
      <c r="BS63" s="136"/>
      <c r="BT63" s="137">
        <v>40.735000610351598</v>
      </c>
      <c r="BU63" s="138">
        <v>0.90747967083265002</v>
      </c>
      <c r="BV63" s="136"/>
      <c r="BW63" s="139" t="s">
        <v>240</v>
      </c>
    </row>
    <row r="64" spans="3:75">
      <c r="AL64" s="290" t="s">
        <v>242</v>
      </c>
      <c r="AM64" s="131">
        <v>50.780833851354245</v>
      </c>
      <c r="AN64" s="131">
        <v>177.24918183146002</v>
      </c>
      <c r="AO64" s="131">
        <v>646.92624860547176</v>
      </c>
      <c r="AP64" s="131">
        <v>820964.22686527204</v>
      </c>
      <c r="AQ64" s="131">
        <v>26.225345150434446</v>
      </c>
      <c r="AR64" s="132">
        <v>6200</v>
      </c>
      <c r="AS64" s="131">
        <v>9777.9569756993369</v>
      </c>
      <c r="AT64" s="131">
        <v>146.89350075394916</v>
      </c>
      <c r="AU64" s="131">
        <v>230.63590670695643</v>
      </c>
      <c r="AV64" s="131">
        <v>176.07030744402809</v>
      </c>
      <c r="AW64" s="133">
        <v>0.60308908527376848</v>
      </c>
      <c r="AX64" s="133">
        <v>0.81937914346305019</v>
      </c>
      <c r="AY64" s="131">
        <v>18.01699316010097</v>
      </c>
      <c r="AZ64" s="135">
        <v>3.6777432010405073</v>
      </c>
      <c r="BA64" s="134" t="s">
        <v>139</v>
      </c>
      <c r="BB64" s="131">
        <v>153.98413707621145</v>
      </c>
      <c r="BC64" s="131">
        <v>152.30974209218164</v>
      </c>
      <c r="BD64" s="133"/>
      <c r="BE64" s="133">
        <v>7.8964003445986489E-2</v>
      </c>
      <c r="BF64" s="135">
        <v>0.38395086877271756</v>
      </c>
      <c r="BG64" s="131">
        <v>13.888591393276156</v>
      </c>
      <c r="BH64" s="133">
        <v>0.45260157858643824</v>
      </c>
      <c r="BI64" s="135">
        <v>5.4317023348241209</v>
      </c>
      <c r="BJ64" s="135">
        <v>1.334507534497152</v>
      </c>
      <c r="BK64" s="133">
        <v>0.79821845642499356</v>
      </c>
      <c r="BL64" s="134" t="s">
        <v>239</v>
      </c>
      <c r="BM64" s="131"/>
      <c r="BN64" s="208"/>
      <c r="BO64" s="208">
        <v>7.048384611507039E-3</v>
      </c>
      <c r="BP64" s="135">
        <v>4.3098083893055668</v>
      </c>
      <c r="BQ64" s="135">
        <v>8.7822536570533565</v>
      </c>
      <c r="BR64" s="135">
        <v>4.4421307806840575</v>
      </c>
      <c r="BS64" s="136"/>
      <c r="BT64" s="137">
        <v>22.403999328613203</v>
      </c>
      <c r="BU64" s="138">
        <v>1.0457808546698617</v>
      </c>
      <c r="BV64" s="136"/>
      <c r="BW64" s="139" t="s">
        <v>243</v>
      </c>
    </row>
    <row r="65" spans="38:75">
      <c r="AL65" s="294" t="s">
        <v>258</v>
      </c>
      <c r="AM65" s="295">
        <v>53.650837708407977</v>
      </c>
      <c r="AN65" s="295">
        <v>168.54008101073484</v>
      </c>
      <c r="AO65" s="295">
        <v>740.96213569715678</v>
      </c>
      <c r="AP65" s="295">
        <v>955269.52325628756</v>
      </c>
      <c r="AQ65" s="295">
        <v>28.608733793038091</v>
      </c>
      <c r="AR65" s="296">
        <v>6200</v>
      </c>
      <c r="AS65" s="295">
        <v>9776.9939369747135</v>
      </c>
      <c r="AT65" s="295">
        <v>159.44857150967007</v>
      </c>
      <c r="AU65" s="295">
        <v>293.35555338032225</v>
      </c>
      <c r="AV65" s="295">
        <v>211.53387290925565</v>
      </c>
      <c r="AW65" s="297">
        <v>0.13729231672668346</v>
      </c>
      <c r="AX65" s="297">
        <v>0.2207217957398695</v>
      </c>
      <c r="AY65" s="295">
        <v>17.579370427339917</v>
      </c>
      <c r="AZ65" s="298" t="s">
        <v>300</v>
      </c>
      <c r="BA65" s="298" t="s">
        <v>160</v>
      </c>
      <c r="BB65" s="295">
        <v>169.62996886530325</v>
      </c>
      <c r="BC65" s="295">
        <v>172.2860426774067</v>
      </c>
      <c r="BD65" s="297"/>
      <c r="BE65" s="297">
        <v>4.4026895289782098E-2</v>
      </c>
      <c r="BF65" s="297">
        <v>3.6493468835132242E-2</v>
      </c>
      <c r="BG65" s="299">
        <v>4.0320657495022134</v>
      </c>
      <c r="BH65" s="297">
        <v>4.0116464459468197E-2</v>
      </c>
      <c r="BI65" s="297">
        <v>0.35360808606580352</v>
      </c>
      <c r="BJ65" s="297">
        <v>0.18304178199554655</v>
      </c>
      <c r="BK65" s="297">
        <v>0.85759088724134358</v>
      </c>
      <c r="BL65" s="298" t="s">
        <v>123</v>
      </c>
      <c r="BM65" s="298"/>
      <c r="BN65" s="295"/>
      <c r="BO65" s="295"/>
      <c r="BP65" s="297">
        <v>0.86529911322497954</v>
      </c>
      <c r="BQ65" s="297">
        <v>0.35645516124836268</v>
      </c>
      <c r="BR65" s="297">
        <v>0.32987357894193559</v>
      </c>
      <c r="BS65" s="300"/>
      <c r="BT65" s="301">
        <v>40.735000610351598</v>
      </c>
      <c r="BU65" s="302">
        <v>0.95324508825577225</v>
      </c>
      <c r="BV65" s="300"/>
      <c r="BW65" s="303" t="s">
        <v>260</v>
      </c>
    </row>
    <row r="66" spans="38:75">
      <c r="AL66" s="614" t="s">
        <v>1156</v>
      </c>
      <c r="AM66" s="131">
        <v>94.125148421672193</v>
      </c>
      <c r="AN66" s="131">
        <v>286.65690858718182</v>
      </c>
      <c r="AO66" s="131">
        <v>576.75468611972462</v>
      </c>
      <c r="AP66" s="131">
        <v>802580.37441120343</v>
      </c>
      <c r="AQ66" s="131">
        <v>26.799509595215145</v>
      </c>
      <c r="AR66" s="132">
        <v>6200</v>
      </c>
      <c r="AS66" s="131"/>
      <c r="AT66" s="131">
        <v>142.03780934400717</v>
      </c>
      <c r="AU66" s="131">
        <v>239.82501401826181</v>
      </c>
      <c r="AV66" s="131">
        <v>163.93524769424948</v>
      </c>
      <c r="AW66" s="135">
        <v>2.8583901380564347</v>
      </c>
      <c r="AX66" s="135">
        <v>3.7361764249828995</v>
      </c>
      <c r="AY66" s="131">
        <v>11.366032735403493</v>
      </c>
      <c r="AZ66" s="134" t="s">
        <v>472</v>
      </c>
      <c r="BA66" s="134" t="s">
        <v>184</v>
      </c>
      <c r="BB66" s="131">
        <v>158.25598225027306</v>
      </c>
      <c r="BC66" s="131">
        <v>157.60052161510825</v>
      </c>
      <c r="BD66" s="133"/>
      <c r="BE66" s="133">
        <v>9.7747596112786536E-2</v>
      </c>
      <c r="BF66" s="133">
        <v>0.18662282934812957</v>
      </c>
      <c r="BG66" s="135">
        <v>6.7186897713394442</v>
      </c>
      <c r="BH66" s="133">
        <v>0.14467601283556153</v>
      </c>
      <c r="BI66" s="135">
        <v>2.0120694025261456</v>
      </c>
      <c r="BJ66" s="133">
        <v>0.441205464155351</v>
      </c>
      <c r="BK66" s="135">
        <v>1.3520462117086698</v>
      </c>
      <c r="BL66" s="131"/>
      <c r="BM66" s="131"/>
      <c r="BN66" s="131"/>
      <c r="BO66" s="131"/>
      <c r="BP66" s="135">
        <v>1.2881085306154298</v>
      </c>
      <c r="BQ66" s="135">
        <v>1.2749755770842361</v>
      </c>
      <c r="BR66" s="133">
        <v>0.57790249035813246</v>
      </c>
      <c r="BS66" s="136"/>
      <c r="BT66" s="137">
        <v>16.294000625610298</v>
      </c>
      <c r="BU66" s="138">
        <v>1.301855274426629</v>
      </c>
      <c r="BV66" s="136"/>
      <c r="BW66" s="615" t="s">
        <v>1157</v>
      </c>
    </row>
    <row r="67" spans="38:75" ht="17" thickBot="1">
      <c r="AL67" s="616" t="s">
        <v>1158</v>
      </c>
      <c r="AM67" s="617">
        <v>54.147807218811103</v>
      </c>
      <c r="AN67" s="617">
        <v>169.48854343126609</v>
      </c>
      <c r="AO67" s="617">
        <v>626.74440589602591</v>
      </c>
      <c r="AP67" s="617">
        <v>847406.64689648617</v>
      </c>
      <c r="AQ67" s="618" t="s">
        <v>1165</v>
      </c>
      <c r="AR67" s="619">
        <v>6200</v>
      </c>
      <c r="AS67" s="617"/>
      <c r="AT67" s="617">
        <v>158.80953261230593</v>
      </c>
      <c r="AU67" s="617">
        <v>265.78021772227538</v>
      </c>
      <c r="AV67" s="617">
        <v>178.33429427492624</v>
      </c>
      <c r="AW67" s="620">
        <v>0.52286482719747762</v>
      </c>
      <c r="AX67" s="620">
        <v>0.59280101931945783</v>
      </c>
      <c r="AY67" s="617">
        <v>13.358438282826125</v>
      </c>
      <c r="AZ67" s="621" t="s">
        <v>198</v>
      </c>
      <c r="BA67" s="621" t="s">
        <v>286</v>
      </c>
      <c r="BB67" s="617">
        <v>187.82636846910933</v>
      </c>
      <c r="BC67" s="617">
        <v>187.03767121736311</v>
      </c>
      <c r="BD67" s="620"/>
      <c r="BE67" s="620">
        <v>4.5193922243358921E-2</v>
      </c>
      <c r="BF67" s="621" t="s">
        <v>56</v>
      </c>
      <c r="BG67" s="622">
        <v>4.7246739084041582</v>
      </c>
      <c r="BH67" s="620">
        <v>3.2577413510663247E-2</v>
      </c>
      <c r="BI67" s="620">
        <v>0.47705769847534446</v>
      </c>
      <c r="BJ67" s="621" t="s">
        <v>160</v>
      </c>
      <c r="BK67" s="622">
        <v>1.0477082512773621</v>
      </c>
      <c r="BL67" s="621" t="s">
        <v>214</v>
      </c>
      <c r="BM67" s="617"/>
      <c r="BN67" s="617"/>
      <c r="BO67" s="617"/>
      <c r="BP67" s="620">
        <v>0.85044481153167939</v>
      </c>
      <c r="BQ67" s="620">
        <v>0.91953389250504525</v>
      </c>
      <c r="BR67" s="620">
        <v>0.66635776248589174</v>
      </c>
      <c r="BS67" s="623"/>
      <c r="BT67" s="624">
        <v>6.7889976501465021</v>
      </c>
      <c r="BU67" s="625">
        <v>0.88001816101532482</v>
      </c>
      <c r="BV67" s="623"/>
      <c r="BW67" s="626" t="s">
        <v>1161</v>
      </c>
    </row>
    <row r="68" spans="38:75">
      <c r="AL68" s="293" t="s">
        <v>250</v>
      </c>
      <c r="AM68" s="141">
        <v>11.221486143198121</v>
      </c>
      <c r="AN68" s="141">
        <v>30.900971102958199</v>
      </c>
      <c r="AO68" s="141">
        <v>165.96779837404549</v>
      </c>
      <c r="AP68" s="141">
        <v>919545.4232789831</v>
      </c>
      <c r="AQ68" s="141">
        <v>102.81936314839342</v>
      </c>
      <c r="AR68" s="142">
        <v>79400</v>
      </c>
      <c r="AS68" s="141">
        <v>129808.05439004768</v>
      </c>
      <c r="AT68" s="141">
        <v>1095.7294863217276</v>
      </c>
      <c r="AU68" s="141">
        <v>229.23343839703023</v>
      </c>
      <c r="AV68" s="141">
        <v>171.46859868970327</v>
      </c>
      <c r="AW68" s="143">
        <v>3.4683950652385742</v>
      </c>
      <c r="AX68" s="143">
        <v>3.6657525963558322</v>
      </c>
      <c r="AY68" s="141">
        <v>17.942645231699053</v>
      </c>
      <c r="AZ68" s="143">
        <v>4.900870686868009</v>
      </c>
      <c r="BA68" s="141">
        <v>11.622275560512499</v>
      </c>
      <c r="BB68" s="141">
        <v>92.86807018128944</v>
      </c>
      <c r="BC68" s="141">
        <v>91.700543703344209</v>
      </c>
      <c r="BD68" s="143"/>
      <c r="BE68" s="143">
        <v>3.6494820758041415</v>
      </c>
      <c r="BF68" s="141">
        <v>10.694840294130357</v>
      </c>
      <c r="BG68" s="141">
        <v>404.4658853824231</v>
      </c>
      <c r="BH68" s="141">
        <v>11.099626004393439</v>
      </c>
      <c r="BI68" s="141">
        <v>114.8090923443514</v>
      </c>
      <c r="BJ68" s="141">
        <v>159.67780574062928</v>
      </c>
      <c r="BK68" s="143">
        <v>3.1090860188038474</v>
      </c>
      <c r="BL68" s="144" t="s">
        <v>59</v>
      </c>
      <c r="BM68" s="145"/>
      <c r="BN68" s="145"/>
      <c r="BO68" s="145">
        <v>0.59336866605675198</v>
      </c>
      <c r="BP68" s="141">
        <v>42.221615520133561</v>
      </c>
      <c r="BQ68" s="141">
        <v>316.94073832127231</v>
      </c>
      <c r="BR68" s="141">
        <v>323.82962481140174</v>
      </c>
      <c r="BS68" s="146"/>
      <c r="BT68" s="147">
        <v>44.808000564575195</v>
      </c>
      <c r="BU68" s="148">
        <v>0.68038333338988788</v>
      </c>
      <c r="BV68" s="146"/>
      <c r="BW68" s="149" t="s">
        <v>251</v>
      </c>
    </row>
    <row r="69" spans="38:75">
      <c r="AL69" s="293" t="s">
        <v>252</v>
      </c>
      <c r="AM69" s="143">
        <v>9.7072536206171733</v>
      </c>
      <c r="AN69" s="141">
        <v>24.184812397467834</v>
      </c>
      <c r="AO69" s="141">
        <v>178.73962008877956</v>
      </c>
      <c r="AP69" s="141">
        <v>920198.03864347981</v>
      </c>
      <c r="AQ69" s="141">
        <v>111.69299744045431</v>
      </c>
      <c r="AR69" s="142">
        <v>79400</v>
      </c>
      <c r="AS69" s="141">
        <v>128475.54853338287</v>
      </c>
      <c r="AT69" s="141">
        <v>1023.0951881625469</v>
      </c>
      <c r="AU69" s="141">
        <v>267.69328288058568</v>
      </c>
      <c r="AV69" s="141">
        <v>211.20602246298881</v>
      </c>
      <c r="AW69" s="143">
        <v>3.5508449767178027</v>
      </c>
      <c r="AX69" s="143">
        <v>4.0464073765647433</v>
      </c>
      <c r="AY69" s="141">
        <v>19.579258904554514</v>
      </c>
      <c r="AZ69" s="144" t="s">
        <v>298</v>
      </c>
      <c r="BA69" s="141">
        <v>11.755905140443026</v>
      </c>
      <c r="BB69" s="141">
        <v>86.30372128306584</v>
      </c>
      <c r="BC69" s="141">
        <v>88.278835393743904</v>
      </c>
      <c r="BD69" s="143"/>
      <c r="BE69" s="143">
        <v>4.1071298743526281</v>
      </c>
      <c r="BF69" s="141">
        <v>12.309359635808461</v>
      </c>
      <c r="BG69" s="141">
        <v>343.51270302261048</v>
      </c>
      <c r="BH69" s="141">
        <v>12.452922411079912</v>
      </c>
      <c r="BI69" s="141">
        <v>125.72953815055698</v>
      </c>
      <c r="BJ69" s="141">
        <v>164.40837060100219</v>
      </c>
      <c r="BK69" s="143">
        <v>3.1732618198992042</v>
      </c>
      <c r="BL69" s="144">
        <v>4.0734720001440634E-2</v>
      </c>
      <c r="BM69" s="145"/>
      <c r="BN69" s="145"/>
      <c r="BO69" s="145">
        <v>0.5702670887221658</v>
      </c>
      <c r="BP69" s="141">
        <v>46.320788319585624</v>
      </c>
      <c r="BQ69" s="141">
        <v>271.35273027960051</v>
      </c>
      <c r="BR69" s="141">
        <v>285.0093999580896</v>
      </c>
      <c r="BS69" s="146"/>
      <c r="BT69" s="147">
        <v>32.588001251220696</v>
      </c>
      <c r="BU69" s="148">
        <v>0.60272925024394775</v>
      </c>
      <c r="BV69" s="146"/>
      <c r="BW69" s="149" t="s">
        <v>254</v>
      </c>
    </row>
    <row r="70" spans="38:75">
      <c r="AL70" s="293" t="s">
        <v>255</v>
      </c>
      <c r="AM70" s="141">
        <v>10.916876665732618</v>
      </c>
      <c r="AN70" s="141">
        <v>29.295827150474562</v>
      </c>
      <c r="AO70" s="141">
        <v>199.20995626296343</v>
      </c>
      <c r="AP70" s="141">
        <v>1010607.4688479305</v>
      </c>
      <c r="AQ70" s="141">
        <v>107.38363698342178</v>
      </c>
      <c r="AR70" s="142">
        <v>79400</v>
      </c>
      <c r="AS70" s="141">
        <v>127047.42726876649</v>
      </c>
      <c r="AT70" s="141">
        <v>1001.4611391572552</v>
      </c>
      <c r="AU70" s="141">
        <v>274.89969177802715</v>
      </c>
      <c r="AV70" s="141">
        <v>202.76424913716951</v>
      </c>
      <c r="AW70" s="143">
        <v>2.9683938231457883</v>
      </c>
      <c r="AX70" s="143">
        <v>3.1529402402610418</v>
      </c>
      <c r="AY70" s="141">
        <v>19.735368904821122</v>
      </c>
      <c r="AZ70" s="144" t="s">
        <v>299</v>
      </c>
      <c r="BA70" s="141">
        <v>11.820626744497311</v>
      </c>
      <c r="BB70" s="141">
        <v>93.172643334764501</v>
      </c>
      <c r="BC70" s="141">
        <v>91.207273191282525</v>
      </c>
      <c r="BD70" s="145"/>
      <c r="BE70" s="143">
        <v>3.0835642416826543</v>
      </c>
      <c r="BF70" s="141">
        <v>11.749119388467703</v>
      </c>
      <c r="BG70" s="141">
        <v>238.94810871010853</v>
      </c>
      <c r="BH70" s="141">
        <v>11.230064758395757</v>
      </c>
      <c r="BI70" s="141">
        <v>118.01917748579486</v>
      </c>
      <c r="BJ70" s="141">
        <v>148.48648805133655</v>
      </c>
      <c r="BK70" s="143">
        <v>2.7886905267037756</v>
      </c>
      <c r="BL70" s="144" t="s">
        <v>123</v>
      </c>
      <c r="BM70" s="145"/>
      <c r="BN70" s="145"/>
      <c r="BO70" s="145">
        <v>0.43444424424200173</v>
      </c>
      <c r="BP70" s="141">
        <v>45.404595877495062</v>
      </c>
      <c r="BQ70" s="141">
        <v>190.96265824861061</v>
      </c>
      <c r="BR70" s="141">
        <v>213.98692280910032</v>
      </c>
      <c r="BS70" s="146"/>
      <c r="BT70" s="147">
        <v>45.488002777099595</v>
      </c>
      <c r="BU70" s="148">
        <v>0.67301319075690369</v>
      </c>
      <c r="BV70" s="146"/>
      <c r="BW70" s="149" t="s">
        <v>257</v>
      </c>
    </row>
    <row r="71" spans="38:75">
      <c r="AL71" s="612" t="s">
        <v>1150</v>
      </c>
      <c r="AM71" s="143">
        <v>7.8967188799412327</v>
      </c>
      <c r="AN71" s="141">
        <v>20.020137461212389</v>
      </c>
      <c r="AO71" s="141">
        <v>178.4362071581325</v>
      </c>
      <c r="AP71" s="141">
        <v>887658.43576597888</v>
      </c>
      <c r="AQ71" s="141">
        <v>111.99117775401815</v>
      </c>
      <c r="AR71" s="142">
        <v>79400</v>
      </c>
      <c r="AS71" s="141"/>
      <c r="AT71" s="141">
        <v>962.42362463369523</v>
      </c>
      <c r="AU71" s="141">
        <v>257.84793604147757</v>
      </c>
      <c r="AV71" s="141">
        <v>190.41985691699443</v>
      </c>
      <c r="AW71" s="143">
        <v>3.6234631960342751</v>
      </c>
      <c r="AX71" s="143">
        <v>3.668368182148114</v>
      </c>
      <c r="AY71" s="141">
        <v>14.856697743929699</v>
      </c>
      <c r="AZ71" s="144" t="s">
        <v>741</v>
      </c>
      <c r="BA71" s="141">
        <v>12.776185364279533</v>
      </c>
      <c r="BB71" s="141">
        <v>81.79164090735803</v>
      </c>
      <c r="BC71" s="141">
        <v>83.946590459944645</v>
      </c>
      <c r="BD71" s="145"/>
      <c r="BE71" s="143">
        <v>3.8482635103217002</v>
      </c>
      <c r="BF71" s="141">
        <v>19.007895897053302</v>
      </c>
      <c r="BG71" s="141">
        <v>275.52115001711894</v>
      </c>
      <c r="BH71" s="141">
        <v>12.545840112895078</v>
      </c>
      <c r="BI71" s="141">
        <v>120.05382216203087</v>
      </c>
      <c r="BJ71" s="141">
        <v>147.22062280632861</v>
      </c>
      <c r="BK71" s="143">
        <v>3.560678301979924</v>
      </c>
      <c r="BL71" s="145">
        <v>0.1987707855044101</v>
      </c>
      <c r="BM71" s="145"/>
      <c r="BN71" s="145"/>
      <c r="BO71" s="145">
        <v>0.56251168908209825</v>
      </c>
      <c r="BP71" s="141">
        <v>49.731314056493531</v>
      </c>
      <c r="BQ71" s="141">
        <v>215.1586969344566</v>
      </c>
      <c r="BR71" s="141">
        <v>233.65325706104724</v>
      </c>
      <c r="BS71" s="146"/>
      <c r="BT71" s="147">
        <v>47.524002075195298</v>
      </c>
      <c r="BU71" s="148">
        <v>0.77736981820114526</v>
      </c>
      <c r="BV71" s="146"/>
      <c r="BW71" s="613" t="s">
        <v>1152</v>
      </c>
    </row>
    <row r="72" spans="38:75">
      <c r="AL72" s="612" t="s">
        <v>1153</v>
      </c>
      <c r="AM72" s="141">
        <v>12.648106263017523</v>
      </c>
      <c r="AN72" s="141">
        <v>32.055796471687493</v>
      </c>
      <c r="AO72" s="141">
        <v>227.36968292540624</v>
      </c>
      <c r="AP72" s="141">
        <v>1023946.6864555127</v>
      </c>
      <c r="AQ72" s="141">
        <v>124.33926045426297</v>
      </c>
      <c r="AR72" s="142">
        <v>79400</v>
      </c>
      <c r="AS72" s="141"/>
      <c r="AT72" s="141">
        <v>900.37508232713628</v>
      </c>
      <c r="AU72" s="141">
        <v>270.51874223952518</v>
      </c>
      <c r="AV72" s="141">
        <v>208.49654857145057</v>
      </c>
      <c r="AW72" s="143">
        <v>4.2065698865343712</v>
      </c>
      <c r="AX72" s="143">
        <v>4.2351665669769716</v>
      </c>
      <c r="AY72" s="141">
        <v>16.928218972529809</v>
      </c>
      <c r="AZ72" s="144" t="s">
        <v>1164</v>
      </c>
      <c r="BA72" s="141">
        <v>13.580637107450487</v>
      </c>
      <c r="BB72" s="141">
        <v>110.41671555391373</v>
      </c>
      <c r="BC72" s="141">
        <v>114.12823061508509</v>
      </c>
      <c r="BD72" s="143"/>
      <c r="BE72" s="143">
        <v>4.6489326937648059</v>
      </c>
      <c r="BF72" s="141">
        <v>19.465699933384268</v>
      </c>
      <c r="BG72" s="141">
        <v>161.47085495606319</v>
      </c>
      <c r="BH72" s="141">
        <v>12.420467463054438</v>
      </c>
      <c r="BI72" s="141">
        <v>112.70360233019065</v>
      </c>
      <c r="BJ72" s="141">
        <v>136.87443509703382</v>
      </c>
      <c r="BK72" s="143">
        <v>3.8700717941504426</v>
      </c>
      <c r="BL72" s="145">
        <v>4.0763885332611778E-2</v>
      </c>
      <c r="BM72" s="145"/>
      <c r="BN72" s="145"/>
      <c r="BO72" s="145">
        <v>0.70662135844780027</v>
      </c>
      <c r="BP72" s="141">
        <v>58.047954070637317</v>
      </c>
      <c r="BQ72" s="141">
        <v>130.29267379385439</v>
      </c>
      <c r="BR72" s="141">
        <v>142.35169609878398</v>
      </c>
      <c r="BS72" s="146"/>
      <c r="BT72" s="147">
        <v>39.377002716064496</v>
      </c>
      <c r="BU72" s="148">
        <v>0.72379586396824724</v>
      </c>
      <c r="BV72" s="146"/>
      <c r="BW72" s="613" t="s">
        <v>1155</v>
      </c>
    </row>
    <row r="73" spans="38:75">
      <c r="AL73" s="286" t="s">
        <v>301</v>
      </c>
      <c r="AM73" s="105" t="s">
        <v>74</v>
      </c>
      <c r="AN73" s="106">
        <v>41.227828468301354</v>
      </c>
      <c r="AO73" s="107" t="s">
        <v>302</v>
      </c>
      <c r="AP73" s="106">
        <v>1426062.6948796874</v>
      </c>
      <c r="AQ73" s="106">
        <v>4696.541151236006</v>
      </c>
      <c r="AR73" s="109">
        <v>55500</v>
      </c>
      <c r="AS73" s="106">
        <v>91244.6745896504</v>
      </c>
      <c r="AT73" s="106">
        <v>163.01220076430917</v>
      </c>
      <c r="AU73" s="110" t="s">
        <v>303</v>
      </c>
      <c r="AV73" s="105" t="s">
        <v>304</v>
      </c>
      <c r="AW73" s="106">
        <v>56.929542423239248</v>
      </c>
      <c r="AX73" s="106">
        <v>67.041204432956363</v>
      </c>
      <c r="AY73" s="106">
        <v>232.37051317909524</v>
      </c>
      <c r="AZ73" s="106">
        <v>181.98560591738845</v>
      </c>
      <c r="BA73" s="111">
        <v>5.7256211493006983</v>
      </c>
      <c r="BB73" s="111">
        <v>6.1941524251361155</v>
      </c>
      <c r="BC73" s="111">
        <v>7.856980886395907</v>
      </c>
      <c r="BD73" s="106"/>
      <c r="BE73" s="111">
        <v>2.6864636534745432</v>
      </c>
      <c r="BF73" s="108">
        <v>0.33089974408284362</v>
      </c>
      <c r="BG73" s="107" t="s">
        <v>285</v>
      </c>
      <c r="BH73" s="108">
        <v>0.33180924981754711</v>
      </c>
      <c r="BI73" s="107" t="s">
        <v>280</v>
      </c>
      <c r="BJ73" s="107" t="s">
        <v>116</v>
      </c>
      <c r="BK73" s="111">
        <v>3.4857341651280755</v>
      </c>
      <c r="BL73" s="111">
        <v>1.3223699622691838</v>
      </c>
      <c r="BM73" s="111"/>
      <c r="BN73" s="106"/>
      <c r="BO73" s="106">
        <v>33.182624587433153</v>
      </c>
      <c r="BP73" s="108">
        <v>0.70867000489902654</v>
      </c>
      <c r="BQ73" s="107" t="s">
        <v>59</v>
      </c>
      <c r="BR73" s="107" t="s">
        <v>41</v>
      </c>
      <c r="BS73" s="104"/>
      <c r="BT73" s="112">
        <v>38.698001861572301</v>
      </c>
      <c r="BU73" s="113">
        <v>0.31021967044725385</v>
      </c>
      <c r="BV73" s="104"/>
      <c r="BW73" s="104" t="s">
        <v>261</v>
      </c>
    </row>
    <row r="74" spans="38:75" ht="17" thickBot="1">
      <c r="AL74" s="286" t="s">
        <v>305</v>
      </c>
      <c r="AM74" s="105" t="s">
        <v>74</v>
      </c>
      <c r="AN74" s="106">
        <v>47.503695758681822</v>
      </c>
      <c r="AO74" s="107" t="s">
        <v>306</v>
      </c>
      <c r="AP74" s="106">
        <v>1392635.8698273664</v>
      </c>
      <c r="AQ74" s="106">
        <v>4579.8624784745243</v>
      </c>
      <c r="AR74" s="109">
        <v>55500</v>
      </c>
      <c r="AS74" s="106">
        <v>89700.286333050957</v>
      </c>
      <c r="AT74" s="106">
        <v>155.48975505431139</v>
      </c>
      <c r="AU74" s="110" t="s">
        <v>306</v>
      </c>
      <c r="AV74" s="105" t="s">
        <v>307</v>
      </c>
      <c r="AW74" s="106">
        <v>53.552224907060946</v>
      </c>
      <c r="AX74" s="106">
        <v>66.520930455256305</v>
      </c>
      <c r="AY74" s="106">
        <v>218.423762469558</v>
      </c>
      <c r="AZ74" s="106">
        <v>177.26499471340924</v>
      </c>
      <c r="BA74" s="111">
        <v>5.9281079095270846</v>
      </c>
      <c r="BB74" s="111">
        <v>6.6123915725960947</v>
      </c>
      <c r="BC74" s="111">
        <v>7.0578091046359024</v>
      </c>
      <c r="BD74" s="106"/>
      <c r="BE74" s="111">
        <v>2.4131697784669868</v>
      </c>
      <c r="BF74" s="108">
        <v>0.37565774410463298</v>
      </c>
      <c r="BG74" s="107" t="s">
        <v>118</v>
      </c>
      <c r="BH74" s="108">
        <v>0.29316683895777179</v>
      </c>
      <c r="BI74" s="107" t="s">
        <v>308</v>
      </c>
      <c r="BJ74" s="107" t="s">
        <v>64</v>
      </c>
      <c r="BK74" s="111">
        <v>3.0525120984268468</v>
      </c>
      <c r="BL74" s="111">
        <v>1.124086511267828</v>
      </c>
      <c r="BM74" s="111"/>
      <c r="BN74" s="106"/>
      <c r="BO74" s="106">
        <v>33.071403990143381</v>
      </c>
      <c r="BP74" s="108">
        <v>0.63737069726090412</v>
      </c>
      <c r="BQ74" s="107" t="s">
        <v>185</v>
      </c>
      <c r="BR74" s="107" t="s">
        <v>214</v>
      </c>
      <c r="BS74" s="104"/>
      <c r="BT74" s="112">
        <v>38.698001861572294</v>
      </c>
      <c r="BU74" s="113">
        <v>0.33045082207846305</v>
      </c>
      <c r="BV74" s="104"/>
      <c r="BW74" s="104" t="s">
        <v>44</v>
      </c>
    </row>
    <row r="75" spans="38:75">
      <c r="AL75" s="280" t="s">
        <v>314</v>
      </c>
      <c r="AM75" s="87">
        <v>441.04165295908615</v>
      </c>
      <c r="AN75" s="87">
        <v>399.17101179321008</v>
      </c>
      <c r="AO75" s="87">
        <v>441.47697601857141</v>
      </c>
      <c r="AP75" s="281" t="s">
        <v>309</v>
      </c>
      <c r="AQ75" s="87">
        <v>403.87594356630882</v>
      </c>
      <c r="AR75" s="89">
        <v>459</v>
      </c>
      <c r="AS75" s="282" t="s">
        <v>310</v>
      </c>
      <c r="AT75" s="87">
        <v>426.08407088857439</v>
      </c>
      <c r="AU75" s="87">
        <v>450.21504719494453</v>
      </c>
      <c r="AV75" s="87">
        <v>445.21601172570251</v>
      </c>
      <c r="AW75" s="87">
        <v>425.18320128870755</v>
      </c>
      <c r="AX75" s="87">
        <v>425.71011901302819</v>
      </c>
      <c r="AY75" s="87">
        <v>440.86326199725875</v>
      </c>
      <c r="AZ75" s="87">
        <v>436.99025678482849</v>
      </c>
      <c r="BA75" s="87">
        <v>319.41185475803866</v>
      </c>
      <c r="BB75" s="87">
        <v>411.08955439204084</v>
      </c>
      <c r="BC75" s="87">
        <v>408.1976030435298</v>
      </c>
      <c r="BD75" s="281"/>
      <c r="BE75" s="90">
        <v>1.2433800129782953</v>
      </c>
      <c r="BF75" s="90">
        <v>1.0914026089699709</v>
      </c>
      <c r="BG75" s="87">
        <v>248.86294917532825</v>
      </c>
      <c r="BH75" s="90">
        <v>1.0244524179250605</v>
      </c>
      <c r="BI75" s="87">
        <v>425.697947787001</v>
      </c>
      <c r="BJ75" s="87">
        <v>390.53894487170669</v>
      </c>
      <c r="BK75" s="87">
        <v>435.8926234480839</v>
      </c>
      <c r="BL75" s="87">
        <v>47.051866750020586</v>
      </c>
      <c r="BM75" s="304"/>
      <c r="BN75" s="304"/>
      <c r="BO75" s="90">
        <v>3.0458294308495968</v>
      </c>
      <c r="BP75" s="87">
        <v>22.682368854589036</v>
      </c>
      <c r="BQ75" s="87">
        <v>417.70914448231122</v>
      </c>
      <c r="BR75" s="87">
        <v>349.10488797481247</v>
      </c>
      <c r="BS75" s="91"/>
      <c r="BT75" s="92">
        <v>43.45100021362299</v>
      </c>
      <c r="BU75" s="93">
        <v>0.79040992644882746</v>
      </c>
      <c r="BV75" s="91"/>
      <c r="BW75" s="94" t="s">
        <v>91</v>
      </c>
    </row>
    <row r="76" spans="38:75" ht="17" thickBot="1">
      <c r="AL76" s="283" t="s">
        <v>315</v>
      </c>
      <c r="AM76" s="96">
        <v>459.47035164419663</v>
      </c>
      <c r="AN76" s="96">
        <v>417.29719631600983</v>
      </c>
      <c r="AO76" s="96">
        <v>447.08599647206097</v>
      </c>
      <c r="AP76" s="284" t="s">
        <v>311</v>
      </c>
      <c r="AQ76" s="96">
        <v>416.63160976531884</v>
      </c>
      <c r="AR76" s="98">
        <v>459</v>
      </c>
      <c r="AS76" s="285" t="s">
        <v>312</v>
      </c>
      <c r="AT76" s="96">
        <v>456.41391130711435</v>
      </c>
      <c r="AU76" s="96">
        <v>470.27718965256008</v>
      </c>
      <c r="AV76" s="96">
        <v>475.18582804935562</v>
      </c>
      <c r="AW76" s="96">
        <v>441.30283063996978</v>
      </c>
      <c r="AX76" s="96">
        <v>440.79466163678552</v>
      </c>
      <c r="AY76" s="96">
        <v>453.65986542602371</v>
      </c>
      <c r="AZ76" s="96">
        <v>457.48450488724603</v>
      </c>
      <c r="BA76" s="96">
        <v>330.93830171147266</v>
      </c>
      <c r="BB76" s="96">
        <v>423.40790187016671</v>
      </c>
      <c r="BC76" s="96">
        <v>426.27484827499023</v>
      </c>
      <c r="BD76" s="97"/>
      <c r="BE76" s="99">
        <v>1.3379007869359143</v>
      </c>
      <c r="BF76" s="99">
        <v>1.0063228734197021</v>
      </c>
      <c r="BG76" s="96">
        <v>253.44486843032956</v>
      </c>
      <c r="BH76" s="99">
        <v>1.0768364629117737</v>
      </c>
      <c r="BI76" s="96">
        <v>434.81987333466748</v>
      </c>
      <c r="BJ76" s="96">
        <v>401.90804168882477</v>
      </c>
      <c r="BK76" s="96">
        <v>452.60165387833069</v>
      </c>
      <c r="BL76" s="96">
        <v>50.987892569710702</v>
      </c>
      <c r="BM76" s="305"/>
      <c r="BN76" s="305"/>
      <c r="BO76" s="99">
        <v>3.2575996347843819</v>
      </c>
      <c r="BP76" s="96">
        <v>21.553109295222413</v>
      </c>
      <c r="BQ76" s="96">
        <v>434.73310293957513</v>
      </c>
      <c r="BR76" s="96">
        <v>366.64943826733418</v>
      </c>
      <c r="BS76" s="100"/>
      <c r="BT76" s="101">
        <v>40.055999755859396</v>
      </c>
      <c r="BU76" s="102">
        <v>0.71364735558835168</v>
      </c>
      <c r="BV76" s="100"/>
      <c r="BW76" s="103" t="s">
        <v>269</v>
      </c>
    </row>
    <row r="77" spans="38:75">
      <c r="AL77" s="79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</row>
    <row r="78" spans="38:75">
      <c r="AL78" s="79" t="s">
        <v>145</v>
      </c>
      <c r="AM78" s="83">
        <v>10</v>
      </c>
      <c r="AN78" s="83">
        <v>23</v>
      </c>
      <c r="AO78" s="83">
        <v>10</v>
      </c>
      <c r="AP78" s="83">
        <v>937000</v>
      </c>
      <c r="AQ78" s="83">
        <v>4600</v>
      </c>
      <c r="AR78" s="83">
        <v>55000</v>
      </c>
      <c r="AS78" s="83">
        <v>55000</v>
      </c>
      <c r="AT78" s="83">
        <v>145</v>
      </c>
      <c r="AU78" s="82">
        <v>0.34</v>
      </c>
      <c r="AV78" s="82">
        <v>0.34</v>
      </c>
      <c r="AW78" s="83">
        <v>58</v>
      </c>
      <c r="AX78" s="83">
        <v>58</v>
      </c>
      <c r="AY78" s="83">
        <v>177</v>
      </c>
      <c r="AZ78" s="83">
        <v>177</v>
      </c>
      <c r="BA78" s="171">
        <v>4.3</v>
      </c>
      <c r="BB78" s="171">
        <v>6.4</v>
      </c>
      <c r="BC78" s="171">
        <v>6.4</v>
      </c>
      <c r="BD78" s="171">
        <v>20</v>
      </c>
      <c r="BE78" s="171">
        <v>2.1</v>
      </c>
      <c r="BF78" s="171">
        <v>1.43</v>
      </c>
      <c r="BG78" s="171">
        <v>1</v>
      </c>
      <c r="BH78" s="171">
        <v>1.43</v>
      </c>
      <c r="BI78" s="171" t="s">
        <v>94</v>
      </c>
      <c r="BJ78" s="171" t="s">
        <v>94</v>
      </c>
      <c r="BK78" s="171">
        <v>2.85</v>
      </c>
      <c r="BL78" s="171">
        <v>1.1399999999999999</v>
      </c>
      <c r="BM78" s="171">
        <v>9.44</v>
      </c>
      <c r="BN78" s="171">
        <v>15.1</v>
      </c>
      <c r="BO78" s="171">
        <v>30.1</v>
      </c>
      <c r="BP78" s="82">
        <v>0.66</v>
      </c>
      <c r="BQ78" s="171" t="s">
        <v>94</v>
      </c>
      <c r="BR78" s="171" t="s">
        <v>94</v>
      </c>
      <c r="BS78" s="74"/>
      <c r="BT78" s="74"/>
      <c r="BU78" s="74"/>
      <c r="BV78" s="74"/>
      <c r="BW78" s="7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79"/>
  <sheetViews>
    <sheetView tabSelected="1" topLeftCell="A8" zoomScale="112" zoomScaleNormal="100" workbookViewId="0">
      <selection activeCell="BW39" sqref="BW39"/>
    </sheetView>
  </sheetViews>
  <sheetFormatPr baseColWidth="10" defaultColWidth="8.83203125" defaultRowHeight="16"/>
  <cols>
    <col min="2" max="2" width="11.6640625" customWidth="1"/>
    <col min="3" max="3" width="9.5" customWidth="1"/>
    <col min="6" max="6" width="10.6640625" bestFit="1" customWidth="1"/>
    <col min="7" max="8" width="11.6640625" customWidth="1"/>
    <col min="9" max="9" width="11.1640625" customWidth="1"/>
    <col min="10" max="11" width="10" customWidth="1"/>
    <col min="12" max="12" width="9.83203125" customWidth="1"/>
    <col min="13" max="13" width="13.6640625" bestFit="1" customWidth="1"/>
    <col min="14" max="14" width="13.1640625" customWidth="1"/>
    <col min="18" max="18" width="9.6640625" customWidth="1"/>
    <col min="19" max="19" width="10.5" customWidth="1"/>
    <col min="20" max="22" width="11.5" customWidth="1"/>
    <col min="23" max="23" width="14.1640625" customWidth="1"/>
    <col min="24" max="24" width="13.6640625" bestFit="1" customWidth="1"/>
    <col min="25" max="25" width="10.6640625" bestFit="1" customWidth="1"/>
    <col min="26" max="26" width="12.83203125" customWidth="1"/>
    <col min="27" max="27" width="13.33203125" customWidth="1"/>
    <col min="28" max="28" width="13.83203125" customWidth="1"/>
    <col min="29" max="29" width="9.6640625" bestFit="1" customWidth="1"/>
    <col min="30" max="30" width="9.5" customWidth="1"/>
    <col min="31" max="32" width="12.5" style="306" customWidth="1"/>
    <col min="33" max="33" width="11" customWidth="1"/>
    <col min="34" max="34" width="8.83203125" bestFit="1" customWidth="1"/>
    <col min="35" max="35" width="9.1640625" bestFit="1" customWidth="1"/>
    <col min="36" max="36" width="9.1640625" customWidth="1"/>
    <col min="37" max="37" width="9.1640625" bestFit="1" customWidth="1"/>
    <col min="38" max="38" width="10" bestFit="1" customWidth="1"/>
    <col min="39" max="41" width="8.83203125" bestFit="1" customWidth="1"/>
    <col min="42" max="42" width="10.33203125" bestFit="1" customWidth="1"/>
    <col min="43" max="43" width="9.6640625" bestFit="1" customWidth="1"/>
    <col min="44" max="44" width="9.33203125" bestFit="1" customWidth="1"/>
    <col min="45" max="45" width="9.83203125" customWidth="1"/>
    <col min="46" max="46" width="9.6640625" bestFit="1" customWidth="1"/>
    <col min="47" max="51" width="8.83203125" bestFit="1" customWidth="1"/>
    <col min="52" max="52" width="10.1640625" bestFit="1" customWidth="1"/>
    <col min="53" max="54" width="8.83203125" bestFit="1" customWidth="1"/>
    <col min="55" max="55" width="10" bestFit="1" customWidth="1"/>
    <col min="56" max="56" width="8.83203125" bestFit="1" customWidth="1"/>
    <col min="57" max="58" width="9.83203125" bestFit="1" customWidth="1"/>
    <col min="59" max="60" width="9.1640625" bestFit="1" customWidth="1"/>
    <col min="61" max="62" width="10.1640625" bestFit="1" customWidth="1"/>
    <col min="63" max="64" width="8.83203125" bestFit="1" customWidth="1"/>
    <col min="65" max="66" width="9.83203125" bestFit="1" customWidth="1"/>
    <col min="68" max="69" width="8.83203125" bestFit="1" customWidth="1"/>
    <col min="71" max="71" width="43.33203125" customWidth="1"/>
    <col min="74" max="74" width="7.5" customWidth="1"/>
    <col min="75" max="75" width="38.83203125" customWidth="1"/>
  </cols>
  <sheetData>
    <row r="1" spans="1:75">
      <c r="A1" s="445" t="s">
        <v>495</v>
      </c>
      <c r="B1" s="445" t="s">
        <v>494</v>
      </c>
      <c r="C1" s="306" t="s">
        <v>493</v>
      </c>
      <c r="D1" s="306" t="s">
        <v>492</v>
      </c>
      <c r="E1" s="1461" t="s">
        <v>1421</v>
      </c>
      <c r="F1" s="306" t="s">
        <v>491</v>
      </c>
      <c r="G1" s="306" t="s">
        <v>490</v>
      </c>
      <c r="H1" s="1461" t="s">
        <v>1422</v>
      </c>
      <c r="I1" s="306" t="s">
        <v>489</v>
      </c>
      <c r="J1" s="306" t="s">
        <v>488</v>
      </c>
      <c r="K1" s="1461" t="s">
        <v>1423</v>
      </c>
      <c r="L1" s="874" t="s">
        <v>1393</v>
      </c>
      <c r="M1" s="875" t="s">
        <v>1392</v>
      </c>
      <c r="N1" s="886" t="s">
        <v>1391</v>
      </c>
      <c r="O1" s="306" t="s">
        <v>485</v>
      </c>
      <c r="P1" s="306" t="s">
        <v>484</v>
      </c>
      <c r="Q1" s="306" t="s">
        <v>483</v>
      </c>
      <c r="R1" s="306" t="s">
        <v>482</v>
      </c>
      <c r="S1" s="1354" t="s">
        <v>1406</v>
      </c>
      <c r="T1" s="1354" t="s">
        <v>1405</v>
      </c>
      <c r="U1" s="1359" t="s">
        <v>1407</v>
      </c>
      <c r="V1" s="1359" t="s">
        <v>1408</v>
      </c>
      <c r="W1" s="852" t="s">
        <v>935</v>
      </c>
      <c r="X1" s="306" t="s">
        <v>481</v>
      </c>
      <c r="Y1" s="306" t="s">
        <v>480</v>
      </c>
      <c r="Z1" s="1375" t="s">
        <v>1411</v>
      </c>
      <c r="AA1" s="1375" t="s">
        <v>1412</v>
      </c>
      <c r="AB1" s="874" t="s">
        <v>1394</v>
      </c>
      <c r="AC1" s="843" t="s">
        <v>478</v>
      </c>
      <c r="AD1" s="932" t="s">
        <v>1391</v>
      </c>
      <c r="AE1" s="1530" t="s">
        <v>1428</v>
      </c>
      <c r="AF1" s="1530" t="s">
        <v>1429</v>
      </c>
      <c r="AG1" s="1483" t="s">
        <v>1425</v>
      </c>
      <c r="AH1" s="1485" t="s">
        <v>1426</v>
      </c>
      <c r="AI1" s="886" t="s">
        <v>1353</v>
      </c>
      <c r="AJ1" s="839"/>
      <c r="AL1" s="719" t="s">
        <v>271</v>
      </c>
      <c r="AM1" s="235" t="s">
        <v>0</v>
      </c>
      <c r="AN1" s="236"/>
      <c r="AO1" s="236"/>
      <c r="AP1" s="237"/>
      <c r="AQ1" s="237"/>
      <c r="AR1" s="236"/>
      <c r="AS1" s="236"/>
      <c r="AT1" s="236"/>
      <c r="AU1" s="236"/>
      <c r="AV1" s="236"/>
      <c r="AW1" s="236"/>
      <c r="AX1" s="236"/>
      <c r="AY1" s="237"/>
      <c r="AZ1" s="237"/>
      <c r="BA1" s="237"/>
      <c r="BB1" s="237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</row>
    <row r="2" spans="1:75" ht="17" thickBo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846"/>
      <c r="M2" s="306"/>
      <c r="N2" s="847"/>
      <c r="O2" s="306"/>
      <c r="P2" s="306"/>
      <c r="Q2" s="306"/>
      <c r="R2" s="306"/>
      <c r="S2" s="306"/>
      <c r="T2" s="306"/>
      <c r="U2" s="306"/>
      <c r="V2" s="306"/>
      <c r="W2" s="853"/>
      <c r="X2" s="306"/>
      <c r="Y2" s="306"/>
      <c r="Z2" s="306"/>
      <c r="AA2" s="306"/>
      <c r="AB2" s="846"/>
      <c r="AC2" s="306"/>
      <c r="AD2" s="840"/>
      <c r="AG2" s="911"/>
      <c r="AH2" s="840"/>
      <c r="AI2" s="901"/>
      <c r="AJ2" s="840"/>
      <c r="AL2" s="238"/>
      <c r="AM2" s="236" t="s">
        <v>1166</v>
      </c>
      <c r="AN2" s="236"/>
      <c r="AO2" s="236"/>
      <c r="AP2" s="236"/>
      <c r="AQ2" s="237"/>
      <c r="AR2" s="236"/>
      <c r="AS2" s="236"/>
      <c r="AT2" s="236"/>
      <c r="AU2" s="236"/>
      <c r="AV2" s="239"/>
      <c r="AW2" s="240">
        <v>44552.546689814815</v>
      </c>
      <c r="AX2" s="236"/>
      <c r="AY2" s="239"/>
      <c r="AZ2" s="240"/>
      <c r="BA2" s="237"/>
      <c r="BB2" s="237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</row>
    <row r="3" spans="1:75">
      <c r="A3" s="435" t="s">
        <v>313</v>
      </c>
      <c r="B3" s="435" t="s">
        <v>3</v>
      </c>
      <c r="C3" s="405" t="e">
        <f>AVERAGE(AM56:AM59)</f>
        <v>#DIV/0!</v>
      </c>
      <c r="D3" s="405" t="e">
        <f>STDEV(AM56:AM59)</f>
        <v>#DIV/0!</v>
      </c>
      <c r="E3" s="405" t="e" cm="1">
        <f t="array" ref="E3:E34">2*D3:D34</f>
        <v>#DIV/0!</v>
      </c>
      <c r="F3" s="434">
        <f>AVERAGE(AM61:AM65)</f>
        <v>16.936344595097125</v>
      </c>
      <c r="G3" s="434">
        <f>STDEV(AM61:AM65)</f>
        <v>7.819826822116946</v>
      </c>
      <c r="H3" s="434" cm="1">
        <f t="array" ref="H3:H34">2*G3:G34</f>
        <v>15.639653644233892</v>
      </c>
      <c r="I3" s="434">
        <f>AVERAGE(AM67:AM72)</f>
        <v>10.506413808888366</v>
      </c>
      <c r="J3" s="434">
        <f>STDEV(AM67:AM72)</f>
        <v>2.8182692330400418</v>
      </c>
      <c r="K3" s="434" cm="1">
        <f t="array" ref="K3:K34">2*J3:J34</f>
        <v>5.6365384660800837</v>
      </c>
      <c r="L3" s="1323" t="e" cm="1">
        <f t="array" ref="L3:L34">C3:C34/I3:I34</f>
        <v>#DIV/0!</v>
      </c>
      <c r="M3" s="571" t="e" cm="1">
        <f t="array" ref="M3:M34">L3:L34*SQRT((D3:D34/C3:C34)^2 + (J3:J34/I3:I34)^2)</f>
        <v>#DIV/0!</v>
      </c>
      <c r="N3" s="862" t="e" cm="1">
        <f t="array" ref="N3:N34">(2*M3:M34)</f>
        <v>#DIV/0!</v>
      </c>
      <c r="O3" s="433">
        <v>0.56999999999999995</v>
      </c>
      <c r="P3" s="433">
        <v>3</v>
      </c>
      <c r="Q3" s="778">
        <v>0.44574751499999998</v>
      </c>
      <c r="R3" s="433">
        <f>(1-(2*Q3))/(1-Q3)</f>
        <v>0.19576812542392125</v>
      </c>
      <c r="S3" s="778">
        <f>O3*(((1-(2*C47))/(1-C47))^P3)</f>
        <v>2.2096106143285523E-3</v>
      </c>
      <c r="T3" s="433">
        <f>O3*(((1-(2*C46))/(1-C46))^P3)</f>
        <v>7.1810180983413125E-3</v>
      </c>
      <c r="U3" s="433" cm="1">
        <f t="array" ref="U3:U34">W3:W34-S3:S34</f>
        <v>2.0670107624651685E-3</v>
      </c>
      <c r="V3" s="433" cm="1">
        <f t="array" ref="V3:V34">T3:T34-W3:W34</f>
        <v>2.9043967215475917E-3</v>
      </c>
      <c r="W3" s="897" cm="1">
        <f t="array" ref="W3:W34">O3:O34*(R3:R34)^P3:P34</f>
        <v>4.2766213767937208E-3</v>
      </c>
      <c r="X3" s="721" t="e">
        <f t="shared" ref="X3:X34" si="0">L3/W3</f>
        <v>#DIV/0!</v>
      </c>
      <c r="Y3" s="721" t="e">
        <f t="shared" ref="Y3:Y34" si="1">X3*(M3/L3)</f>
        <v>#DIV/0!</v>
      </c>
      <c r="Z3" s="721"/>
      <c r="AA3" s="721"/>
      <c r="AB3" s="857" t="e" cm="1">
        <f t="array" ref="AB3:AB34">C3:C34/F3:F34</f>
        <v>#DIV/0!</v>
      </c>
      <c r="AC3" s="406" t="e" cm="1">
        <f t="array" ref="AC3:AC34">AB3:AB34*SQRT((D3:D34/C3:C34)^2 + (G3:G34/F3:F34)^2)</f>
        <v>#DIV/0!</v>
      </c>
      <c r="AD3" s="908" t="e" cm="1">
        <f t="array" ref="AD3:AD34">2*AC3:AC34</f>
        <v>#DIV/0!</v>
      </c>
      <c r="AE3" s="570"/>
      <c r="AF3" s="570"/>
      <c r="AG3" s="919" cm="1">
        <f t="array" ref="AG3:AG34">F3:F34/I3:I34</f>
        <v>1.6120005268371473</v>
      </c>
      <c r="AH3" s="910" cm="1">
        <f t="array" ref="AH3:AH34">AG3:AG34*SQRT((J3:J34/I3:I34)^2 + (G3:G34/F3:F34)^2)</f>
        <v>0.86078158867297805</v>
      </c>
      <c r="AI3" s="906" cm="1">
        <f t="array" ref="AI3:AI34">2*AH3:AH34</f>
        <v>1.7215631773459561</v>
      </c>
      <c r="AJ3" s="435" t="s">
        <v>3</v>
      </c>
      <c r="AL3" s="241" t="s">
        <v>2</v>
      </c>
      <c r="AM3" s="242" t="s">
        <v>3</v>
      </c>
      <c r="AN3" s="242" t="s">
        <v>4</v>
      </c>
      <c r="AO3" s="242" t="s">
        <v>5</v>
      </c>
      <c r="AP3" s="242" t="s">
        <v>6</v>
      </c>
      <c r="AQ3" s="242" t="s">
        <v>7</v>
      </c>
      <c r="AR3" s="243" t="s">
        <v>8</v>
      </c>
      <c r="AS3" s="242" t="s">
        <v>8</v>
      </c>
      <c r="AT3" s="242" t="s">
        <v>9</v>
      </c>
      <c r="AU3" s="242" t="s">
        <v>10</v>
      </c>
      <c r="AV3" s="242" t="s">
        <v>10</v>
      </c>
      <c r="AW3" s="242" t="s">
        <v>11</v>
      </c>
      <c r="AX3" s="242" t="s">
        <v>11</v>
      </c>
      <c r="AY3" s="242" t="s">
        <v>12</v>
      </c>
      <c r="AZ3" s="242" t="s">
        <v>12</v>
      </c>
      <c r="BA3" s="242" t="s">
        <v>13</v>
      </c>
      <c r="BB3" s="242" t="s">
        <v>14</v>
      </c>
      <c r="BC3" s="242" t="s">
        <v>14</v>
      </c>
      <c r="BD3" s="242" t="s">
        <v>15</v>
      </c>
      <c r="BE3" s="242" t="s">
        <v>16</v>
      </c>
      <c r="BF3" s="242" t="s">
        <v>17</v>
      </c>
      <c r="BG3" s="242" t="s">
        <v>18</v>
      </c>
      <c r="BH3" s="242" t="s">
        <v>17</v>
      </c>
      <c r="BI3" s="242" t="s">
        <v>19</v>
      </c>
      <c r="BJ3" s="242" t="s">
        <v>20</v>
      </c>
      <c r="BK3" s="242" t="s">
        <v>21</v>
      </c>
      <c r="BL3" s="242" t="s">
        <v>22</v>
      </c>
      <c r="BM3" s="242" t="s">
        <v>23</v>
      </c>
      <c r="BN3" s="242" t="s">
        <v>24</v>
      </c>
      <c r="BO3" s="242" t="s">
        <v>25</v>
      </c>
      <c r="BP3" s="242" t="s">
        <v>26</v>
      </c>
      <c r="BQ3" s="242" t="s">
        <v>27</v>
      </c>
      <c r="BR3" s="242" t="s">
        <v>28</v>
      </c>
      <c r="BS3" s="236"/>
      <c r="BT3" s="242" t="s">
        <v>29</v>
      </c>
      <c r="BU3" s="242" t="s">
        <v>30</v>
      </c>
      <c r="BV3" s="242"/>
      <c r="BW3" s="241" t="s">
        <v>31</v>
      </c>
    </row>
    <row r="4" spans="1:75">
      <c r="A4" s="435" t="s">
        <v>313</v>
      </c>
      <c r="B4" s="435" t="s">
        <v>4</v>
      </c>
      <c r="C4" s="405" t="e">
        <f>AVERAGE(AN56:AN59)</f>
        <v>#DIV/0!</v>
      </c>
      <c r="D4" s="405" t="e">
        <f>STDEV(AN56:AN59)</f>
        <v>#DIV/0!</v>
      </c>
      <c r="E4" s="405" t="e">
        <v>#DIV/0!</v>
      </c>
      <c r="F4" s="434">
        <f>AVERAGE(AN61:AN65)</f>
        <v>35.149748053995822</v>
      </c>
      <c r="G4" s="434">
        <f>STDEV(AN61:AN65)</f>
        <v>17.469759808266375</v>
      </c>
      <c r="H4" s="434">
        <v>34.939519616532749</v>
      </c>
      <c r="I4" s="434">
        <f>AVERAGE(AN67:AN72)</f>
        <v>11.650278758552517</v>
      </c>
      <c r="J4" s="434">
        <f>STDEV(AN67:AN72)</f>
        <v>4.2115193427354329</v>
      </c>
      <c r="K4" s="434">
        <v>8.4230386854708659</v>
      </c>
      <c r="L4" s="1323" t="e">
        <v>#DIV/0!</v>
      </c>
      <c r="M4" s="571" t="e">
        <v>#DIV/0!</v>
      </c>
      <c r="N4" s="862" t="e">
        <v>#DIV/0!</v>
      </c>
      <c r="O4" s="433">
        <v>0.81</v>
      </c>
      <c r="P4" s="433">
        <v>1.66</v>
      </c>
      <c r="Q4" s="778">
        <v>0.44574751499999998</v>
      </c>
      <c r="R4" s="433">
        <f t="shared" ref="R4:R34" si="2">(1-(2*Q4))/(1-Q4)</f>
        <v>0.19576812542392125</v>
      </c>
      <c r="S4" s="433">
        <f>O4*(((1-(2*C47))/(1-C47))^P4)</f>
        <v>3.7504983523230742E-2</v>
      </c>
      <c r="T4" s="433">
        <f>O4*(((1-(2*C46))/(1-C46))^P4)</f>
        <v>7.1998568851907321E-2</v>
      </c>
      <c r="U4" s="433">
        <v>1.6542653275391728E-2</v>
      </c>
      <c r="V4" s="433">
        <v>1.7950932053284852E-2</v>
      </c>
      <c r="W4" s="887">
        <v>5.404763679862247E-2</v>
      </c>
      <c r="X4" s="721" t="e">
        <f t="shared" si="0"/>
        <v>#DIV/0!</v>
      </c>
      <c r="Y4" s="721" t="e">
        <f t="shared" si="1"/>
        <v>#DIV/0!</v>
      </c>
      <c r="Z4" s="1492">
        <f>AN8/F4</f>
        <v>5.0081276028892657E-3</v>
      </c>
      <c r="AA4" s="721"/>
      <c r="AB4" s="857" t="e">
        <v>#DIV/0!</v>
      </c>
      <c r="AC4" s="406" t="e">
        <v>#DIV/0!</v>
      </c>
      <c r="AD4" s="908" t="e">
        <v>#DIV/0!</v>
      </c>
      <c r="AE4" s="570"/>
      <c r="AF4" s="570"/>
      <c r="AG4" s="912">
        <v>3.0170735638571951</v>
      </c>
      <c r="AH4" s="909">
        <v>1.8542052014159047</v>
      </c>
      <c r="AI4" s="904">
        <v>3.7084104028318094</v>
      </c>
      <c r="AJ4" s="435" t="s">
        <v>4</v>
      </c>
      <c r="AL4" s="241" t="s">
        <v>32</v>
      </c>
      <c r="AM4" s="236">
        <v>51</v>
      </c>
      <c r="AN4" s="236">
        <v>53</v>
      </c>
      <c r="AO4" s="236">
        <v>55</v>
      </c>
      <c r="AP4" s="236">
        <v>57</v>
      </c>
      <c r="AQ4" s="236">
        <v>59</v>
      </c>
      <c r="AR4" s="244">
        <v>61</v>
      </c>
      <c r="AS4" s="236">
        <v>62</v>
      </c>
      <c r="AT4" s="236">
        <v>63</v>
      </c>
      <c r="AU4" s="236">
        <v>66</v>
      </c>
      <c r="AV4" s="236">
        <v>67</v>
      </c>
      <c r="AW4" s="236">
        <v>69</v>
      </c>
      <c r="AX4" s="236">
        <v>71</v>
      </c>
      <c r="AY4" s="236">
        <v>72</v>
      </c>
      <c r="AZ4" s="236">
        <v>73</v>
      </c>
      <c r="BA4" s="236">
        <v>75</v>
      </c>
      <c r="BB4" s="236">
        <v>95</v>
      </c>
      <c r="BC4" s="236">
        <v>97</v>
      </c>
      <c r="BD4" s="236">
        <v>101</v>
      </c>
      <c r="BE4" s="236">
        <v>103</v>
      </c>
      <c r="BF4" s="236">
        <v>105</v>
      </c>
      <c r="BG4" s="236">
        <v>107</v>
      </c>
      <c r="BH4" s="236">
        <v>108</v>
      </c>
      <c r="BI4" s="236">
        <v>118</v>
      </c>
      <c r="BJ4" s="236">
        <v>121</v>
      </c>
      <c r="BK4" s="236">
        <v>184</v>
      </c>
      <c r="BL4" s="236">
        <v>185</v>
      </c>
      <c r="BM4" s="236">
        <v>189</v>
      </c>
      <c r="BN4" s="236">
        <v>193</v>
      </c>
      <c r="BO4" s="236">
        <v>195</v>
      </c>
      <c r="BP4" s="236">
        <v>197</v>
      </c>
      <c r="BQ4" s="236">
        <v>208</v>
      </c>
      <c r="BR4" s="236">
        <v>209</v>
      </c>
      <c r="BS4" s="236"/>
      <c r="BT4" s="242" t="s">
        <v>33</v>
      </c>
      <c r="BU4" s="242" t="s">
        <v>34</v>
      </c>
      <c r="BV4" s="236"/>
      <c r="BW4" s="236"/>
    </row>
    <row r="5" spans="1:75">
      <c r="A5" s="435" t="s">
        <v>313</v>
      </c>
      <c r="B5" s="435" t="s">
        <v>5</v>
      </c>
      <c r="C5" s="405" t="e">
        <f>AVERAGE(AO56:AO59)</f>
        <v>#DIV/0!</v>
      </c>
      <c r="D5" s="405" t="e">
        <f>STDEV(AO56:AO59)</f>
        <v>#DIV/0!</v>
      </c>
      <c r="E5" s="405" t="e">
        <v>#DIV/0!</v>
      </c>
      <c r="F5" s="434">
        <f>AVERAGE(AO61:AO65)</f>
        <v>795.03295608091059</v>
      </c>
      <c r="G5" s="434">
        <f>STDEV(AO61:AO65)</f>
        <v>357.1151352042578</v>
      </c>
      <c r="H5" s="434">
        <v>714.23027040851559</v>
      </c>
      <c r="I5" s="434">
        <f>AVERAGE(AO67:AO72)</f>
        <v>499.33921833285029</v>
      </c>
      <c r="J5" s="434">
        <f>STDEV(AO67:AO72)</f>
        <v>103.18095403589432</v>
      </c>
      <c r="K5" s="434">
        <v>206.36190807178863</v>
      </c>
      <c r="L5" s="1323" t="e">
        <v>#DIV/0!</v>
      </c>
      <c r="M5" s="571" t="e">
        <v>#DIV/0!</v>
      </c>
      <c r="N5" s="862" t="e">
        <v>#DIV/0!</v>
      </c>
      <c r="O5" s="433"/>
      <c r="P5" s="433"/>
      <c r="Q5" s="778">
        <v>0.44574751499999998</v>
      </c>
      <c r="R5" s="433">
        <f t="shared" si="2"/>
        <v>0.19576812542392125</v>
      </c>
      <c r="S5" s="433"/>
      <c r="T5" s="433"/>
      <c r="U5" s="433">
        <v>0</v>
      </c>
      <c r="V5" s="433">
        <v>0</v>
      </c>
      <c r="W5" s="898">
        <v>0</v>
      </c>
      <c r="X5" s="721" t="e">
        <f t="shared" si="0"/>
        <v>#DIV/0!</v>
      </c>
      <c r="Y5" s="721" t="e">
        <f t="shared" si="1"/>
        <v>#DIV/0!</v>
      </c>
      <c r="Z5" s="721"/>
      <c r="AA5" s="721"/>
      <c r="AB5" s="857" t="e">
        <v>#DIV/0!</v>
      </c>
      <c r="AC5" s="406" t="e">
        <v>#DIV/0!</v>
      </c>
      <c r="AD5" s="908" t="e">
        <v>#DIV/0!</v>
      </c>
      <c r="AE5" s="570"/>
      <c r="AF5" s="570"/>
      <c r="AG5" s="919">
        <v>1.5921700657426758</v>
      </c>
      <c r="AH5" s="910">
        <v>0.78722016912897697</v>
      </c>
      <c r="AI5" s="906">
        <v>1.5744403382579539</v>
      </c>
      <c r="AJ5" s="435" t="s">
        <v>5</v>
      </c>
      <c r="AL5" s="241"/>
      <c r="AM5" s="242" t="s">
        <v>35</v>
      </c>
      <c r="AN5" s="242" t="s">
        <v>35</v>
      </c>
      <c r="AO5" s="242" t="s">
        <v>35</v>
      </c>
      <c r="AP5" s="242" t="s">
        <v>35</v>
      </c>
      <c r="AQ5" s="242" t="s">
        <v>35</v>
      </c>
      <c r="AR5" s="245" t="s">
        <v>35</v>
      </c>
      <c r="AS5" s="242" t="s">
        <v>35</v>
      </c>
      <c r="AT5" s="242" t="s">
        <v>35</v>
      </c>
      <c r="AU5" s="242" t="s">
        <v>35</v>
      </c>
      <c r="AV5" s="242" t="s">
        <v>35</v>
      </c>
      <c r="AW5" s="242" t="s">
        <v>35</v>
      </c>
      <c r="AX5" s="242" t="s">
        <v>35</v>
      </c>
      <c r="AY5" s="242" t="s">
        <v>35</v>
      </c>
      <c r="AZ5" s="242" t="s">
        <v>35</v>
      </c>
      <c r="BA5" s="242" t="s">
        <v>35</v>
      </c>
      <c r="BB5" s="242" t="s">
        <v>35</v>
      </c>
      <c r="BC5" s="242" t="s">
        <v>35</v>
      </c>
      <c r="BD5" s="242" t="s">
        <v>35</v>
      </c>
      <c r="BE5" s="242" t="s">
        <v>35</v>
      </c>
      <c r="BF5" s="242" t="s">
        <v>35</v>
      </c>
      <c r="BG5" s="242" t="s">
        <v>35</v>
      </c>
      <c r="BH5" s="242" t="s">
        <v>35</v>
      </c>
      <c r="BI5" s="242" t="s">
        <v>35</v>
      </c>
      <c r="BJ5" s="242" t="s">
        <v>35</v>
      </c>
      <c r="BK5" s="242" t="s">
        <v>35</v>
      </c>
      <c r="BL5" s="242" t="s">
        <v>35</v>
      </c>
      <c r="BM5" s="242" t="s">
        <v>35</v>
      </c>
      <c r="BN5" s="242" t="s">
        <v>35</v>
      </c>
      <c r="BO5" s="242" t="s">
        <v>35</v>
      </c>
      <c r="BP5" s="242" t="s">
        <v>35</v>
      </c>
      <c r="BQ5" s="242" t="s">
        <v>35</v>
      </c>
      <c r="BR5" s="242" t="s">
        <v>35</v>
      </c>
      <c r="BS5" s="236"/>
      <c r="BT5" s="236"/>
      <c r="BU5" s="236"/>
      <c r="BV5" s="236"/>
      <c r="BW5" s="236"/>
    </row>
    <row r="6" spans="1:75">
      <c r="A6" s="734" t="s">
        <v>313</v>
      </c>
      <c r="B6" s="734" t="s">
        <v>6</v>
      </c>
      <c r="C6" s="750" t="e">
        <f>AVERAGE(AP56:AP59)</f>
        <v>#DIV/0!</v>
      </c>
      <c r="D6" s="750" t="e">
        <f>STDEV(AP56:AP59)</f>
        <v>#DIV/0!</v>
      </c>
      <c r="E6" s="750" t="e">
        <v>#DIV/0!</v>
      </c>
      <c r="F6" s="754" t="e">
        <f>AVERAGE(AP61:AP65)</f>
        <v>#DIV/0!</v>
      </c>
      <c r="G6" s="750" t="e">
        <f>STDEV(AP61:AP65)</f>
        <v>#DIV/0!</v>
      </c>
      <c r="H6" s="750" t="e">
        <v>#DIV/0!</v>
      </c>
      <c r="I6" s="750" t="e">
        <f>AVERAGE(AP67:AP72)</f>
        <v>#DIV/0!</v>
      </c>
      <c r="J6" s="750" t="e">
        <f>STDEV(AP67:AP72)</f>
        <v>#DIV/0!</v>
      </c>
      <c r="K6" s="750" t="e">
        <v>#DIV/0!</v>
      </c>
      <c r="L6" s="1336" t="e">
        <v>#DIV/0!</v>
      </c>
      <c r="M6" s="781" t="e">
        <v>#DIV/0!</v>
      </c>
      <c r="N6" s="894" t="e">
        <v>#DIV/0!</v>
      </c>
      <c r="O6" s="736"/>
      <c r="P6" s="736"/>
      <c r="Q6" s="778">
        <v>0.44574751499999998</v>
      </c>
      <c r="R6" s="736">
        <f t="shared" si="2"/>
        <v>0.19576812542392125</v>
      </c>
      <c r="S6" s="736"/>
      <c r="T6" s="736"/>
      <c r="U6" s="736">
        <v>0</v>
      </c>
      <c r="V6" s="736">
        <v>0</v>
      </c>
      <c r="W6" s="899">
        <v>0</v>
      </c>
      <c r="X6" s="736" t="e">
        <f t="shared" si="0"/>
        <v>#DIV/0!</v>
      </c>
      <c r="Y6" s="736" t="e">
        <f t="shared" si="1"/>
        <v>#DIV/0!</v>
      </c>
      <c r="Z6" s="736"/>
      <c r="AA6" s="736"/>
      <c r="AB6" s="905" t="e">
        <v>#DIV/0!</v>
      </c>
      <c r="AC6" s="924" t="e">
        <v>#DIV/0!</v>
      </c>
      <c r="AD6" s="910" t="e">
        <v>#DIV/0!</v>
      </c>
      <c r="AE6" s="570"/>
      <c r="AF6" s="570"/>
      <c r="AG6" s="912" t="e">
        <v>#DIV/0!</v>
      </c>
      <c r="AH6" s="909" t="e">
        <v>#DIV/0!</v>
      </c>
      <c r="AI6" s="904" t="e">
        <v>#DIV/0!</v>
      </c>
      <c r="AJ6" s="734" t="s">
        <v>6</v>
      </c>
      <c r="AL6" s="241"/>
      <c r="AM6" s="237"/>
      <c r="AN6" s="237"/>
      <c r="AO6" s="237"/>
      <c r="AP6" s="237"/>
      <c r="AQ6" s="237"/>
      <c r="AR6" s="246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</row>
    <row r="7" spans="1:75">
      <c r="A7" s="737" t="s">
        <v>313</v>
      </c>
      <c r="B7" s="737" t="s">
        <v>7</v>
      </c>
      <c r="C7" s="1465">
        <f>AVERAGE(AQ56:AQ59)</f>
        <v>645.11501057379019</v>
      </c>
      <c r="D7" s="735">
        <f>STDEV(AQ56:AQ59)</f>
        <v>21.735862369590546</v>
      </c>
      <c r="E7" s="1465">
        <v>43.471724739181091</v>
      </c>
      <c r="F7" s="1465">
        <f>AVERAGE(AQ61:AQ65)</f>
        <v>41.96420522665187</v>
      </c>
      <c r="G7" s="735">
        <f>STDEV(AQ61:AQ65)</f>
        <v>12.380923748879201</v>
      </c>
      <c r="H7" s="1465">
        <v>24.761847497758403</v>
      </c>
      <c r="I7" s="1465">
        <f>AVERAGE(AQ67:AQ72)</f>
        <v>150.52495643455356</v>
      </c>
      <c r="J7" s="735">
        <f>STDEV(AQ67:AQ72)</f>
        <v>16.448609917829444</v>
      </c>
      <c r="K7" s="1465">
        <v>32.897219835658888</v>
      </c>
      <c r="L7" s="1336">
        <v>4.2857677946200132</v>
      </c>
      <c r="M7" s="781">
        <v>0.49008344648116847</v>
      </c>
      <c r="N7" s="894">
        <v>0.98016689296233694</v>
      </c>
      <c r="O7" s="738">
        <v>0.95</v>
      </c>
      <c r="P7" s="738">
        <v>-1.26</v>
      </c>
      <c r="Q7" s="778">
        <v>0.44574751499999998</v>
      </c>
      <c r="R7" s="736">
        <f t="shared" si="2"/>
        <v>0.19576812542392125</v>
      </c>
      <c r="S7" s="781">
        <f>O7*(((1-(2*C46))/(1-C46))^P7)</f>
        <v>5.9647592004837842</v>
      </c>
      <c r="T7" s="781">
        <f>O7*(((1-(2*C47))/(1-C47))^P7)</f>
        <v>9.7853965667540592</v>
      </c>
      <c r="U7" s="781">
        <v>1.4505404873092056</v>
      </c>
      <c r="V7" s="781">
        <v>2.3700968789610695</v>
      </c>
      <c r="W7" s="1362">
        <v>7.4152996877929898</v>
      </c>
      <c r="X7" s="736">
        <f t="shared" si="0"/>
        <v>0.57796285720929275</v>
      </c>
      <c r="Y7" s="736">
        <f t="shared" si="1"/>
        <v>6.6090848261728397E-2</v>
      </c>
      <c r="Z7" s="736"/>
      <c r="AA7" s="736"/>
      <c r="AB7" s="905">
        <v>15.372982928890821</v>
      </c>
      <c r="AC7" s="736">
        <v>4.5650531105760122</v>
      </c>
      <c r="AD7" s="910">
        <v>9.1301062211520243</v>
      </c>
      <c r="AE7" s="570"/>
      <c r="AF7" s="570"/>
      <c r="AG7" s="919">
        <v>0.27878569919996887</v>
      </c>
      <c r="AH7" s="910">
        <v>8.7712056865904234E-2</v>
      </c>
      <c r="AI7" s="906">
        <v>0.17542411373180847</v>
      </c>
      <c r="AJ7" s="737" t="s">
        <v>7</v>
      </c>
      <c r="AL7" s="241" t="s">
        <v>36</v>
      </c>
      <c r="AM7" s="247">
        <v>54.3</v>
      </c>
      <c r="AN7" s="270">
        <v>2646</v>
      </c>
      <c r="AO7" s="270">
        <v>1933</v>
      </c>
      <c r="AP7" s="270">
        <v>184300</v>
      </c>
      <c r="AQ7" s="270">
        <v>506</v>
      </c>
      <c r="AR7" s="627">
        <v>10770</v>
      </c>
      <c r="AS7" s="270">
        <v>10770</v>
      </c>
      <c r="AT7" s="270">
        <v>131</v>
      </c>
      <c r="AU7" s="270">
        <v>323</v>
      </c>
      <c r="AV7" s="270">
        <v>323</v>
      </c>
      <c r="AW7" s="247">
        <v>9.7100000000000009</v>
      </c>
      <c r="AX7" s="247">
        <v>9.7100000000000009</v>
      </c>
      <c r="AY7" s="247">
        <v>32.6</v>
      </c>
      <c r="AZ7" s="247">
        <v>32.6</v>
      </c>
      <c r="BA7" s="247">
        <v>1.81</v>
      </c>
      <c r="BB7" s="247">
        <v>0.92800000000000005</v>
      </c>
      <c r="BC7" s="247">
        <v>0.92800000000000005</v>
      </c>
      <c r="BD7" s="247">
        <v>0.68300000000000005</v>
      </c>
      <c r="BE7" s="247">
        <v>0.14000000000000001</v>
      </c>
      <c r="BF7" s="247">
        <v>0.55600000000000005</v>
      </c>
      <c r="BG7" s="247">
        <v>0.19700000000000001</v>
      </c>
      <c r="BH7" s="247">
        <v>0.55600000000000005</v>
      </c>
      <c r="BI7" s="247">
        <v>1.68</v>
      </c>
      <c r="BJ7" s="247">
        <v>0.13300000000000001</v>
      </c>
      <c r="BK7" s="247">
        <v>9.0300000000000005E-2</v>
      </c>
      <c r="BL7" s="247">
        <v>3.95E-2</v>
      </c>
      <c r="BM7" s="247">
        <v>0.50600000000000001</v>
      </c>
      <c r="BN7" s="247">
        <v>0.48</v>
      </c>
      <c r="BO7" s="247">
        <v>0.98199999999999998</v>
      </c>
      <c r="BP7" s="247">
        <v>0.14799999999999999</v>
      </c>
      <c r="BQ7" s="247">
        <v>2.5299999999999998</v>
      </c>
      <c r="BR7" s="247">
        <v>0.111</v>
      </c>
      <c r="BS7" s="236"/>
      <c r="BT7" s="236"/>
      <c r="BU7" s="236"/>
      <c r="BV7" s="236"/>
      <c r="BW7" s="236"/>
    </row>
    <row r="8" spans="1:75">
      <c r="A8" s="737" t="s">
        <v>313</v>
      </c>
      <c r="B8" s="737" t="s">
        <v>477</v>
      </c>
      <c r="C8" s="735">
        <f>AVERAGE(AR56:AR59)</f>
        <v>231200</v>
      </c>
      <c r="D8" s="735">
        <f>STDEV(AR56:AR59)</f>
        <v>0</v>
      </c>
      <c r="E8" s="735">
        <v>0</v>
      </c>
      <c r="F8" s="735">
        <f>AVERAGE(AR61:AR65)</f>
        <v>9700</v>
      </c>
      <c r="G8" s="735">
        <f>STDEV(AR61:AR65)</f>
        <v>0</v>
      </c>
      <c r="H8" s="735">
        <v>0</v>
      </c>
      <c r="I8" s="735">
        <f>AVERAGE(AR67:AR72)</f>
        <v>91400</v>
      </c>
      <c r="J8" s="735">
        <f>STDEV(AR67:AR72)</f>
        <v>0</v>
      </c>
      <c r="K8" s="735">
        <v>0</v>
      </c>
      <c r="L8" s="1336">
        <v>2.5295404814004376</v>
      </c>
      <c r="M8" s="781">
        <v>0</v>
      </c>
      <c r="N8" s="894">
        <v>0</v>
      </c>
      <c r="O8" s="738">
        <v>0.874</v>
      </c>
      <c r="P8" s="738">
        <v>-0.51700000000000002</v>
      </c>
      <c r="Q8" s="778">
        <v>0.44574751499999998</v>
      </c>
      <c r="R8" s="736">
        <f t="shared" si="2"/>
        <v>0.19576812542392125</v>
      </c>
      <c r="S8" s="781">
        <f>O8*(((1-(2*C46))/(1-C46))^P8)</f>
        <v>1.8573388448064845</v>
      </c>
      <c r="T8" s="781">
        <f>O8*(((1-(2*C47))/(1-C47))^P8)</f>
        <v>2.2756394410126299</v>
      </c>
      <c r="U8" s="781">
        <v>0.17352509271712324</v>
      </c>
      <c r="V8" s="781">
        <v>0.24477550348902222</v>
      </c>
      <c r="W8" s="1362">
        <v>2.0308639375236077</v>
      </c>
      <c r="X8" s="736">
        <f t="shared" si="0"/>
        <v>1.2455489679357374</v>
      </c>
      <c r="Y8" s="736">
        <f t="shared" si="1"/>
        <v>0</v>
      </c>
      <c r="Z8" s="736"/>
      <c r="AA8" s="736"/>
      <c r="AB8" s="905">
        <v>23.835051546391753</v>
      </c>
      <c r="AC8" s="924">
        <v>0</v>
      </c>
      <c r="AD8" s="910">
        <v>0</v>
      </c>
      <c r="AE8" s="570"/>
      <c r="AF8" s="570"/>
      <c r="AG8" s="916">
        <v>0.1061269146608315</v>
      </c>
      <c r="AH8" s="917">
        <v>0</v>
      </c>
      <c r="AI8" s="918">
        <v>0</v>
      </c>
      <c r="AJ8" s="737" t="s">
        <v>477</v>
      </c>
      <c r="AL8" s="79" t="s">
        <v>1351</v>
      </c>
      <c r="AM8" s="82">
        <v>3.8950505241142279</v>
      </c>
      <c r="AN8" s="82">
        <v>0.17603442346381973</v>
      </c>
      <c r="AO8" s="82"/>
      <c r="AP8" s="82">
        <v>9.4625665844623299</v>
      </c>
      <c r="AQ8" s="82">
        <v>0.25801050356202082</v>
      </c>
      <c r="AR8" s="85">
        <v>2.8361254104462192</v>
      </c>
      <c r="AS8" s="82">
        <v>5.6505518625500573</v>
      </c>
      <c r="AT8" s="82">
        <v>2.9562984437301959E-2</v>
      </c>
      <c r="AU8" s="82">
        <v>5.7133103662836804E-2</v>
      </c>
      <c r="AV8" s="82">
        <v>0.62722004666229136</v>
      </c>
      <c r="AW8" s="82">
        <v>1.6734600856245181E-2</v>
      </c>
      <c r="AX8" s="82">
        <v>2.0252373540187947E-2</v>
      </c>
      <c r="AY8" s="82">
        <v>0.30202073343897007</v>
      </c>
      <c r="AZ8" s="82">
        <v>0.57253977052504845</v>
      </c>
      <c r="BA8" s="82">
        <v>7.9998769407979634E-2</v>
      </c>
      <c r="BB8" s="82">
        <v>1.8375223986160361E-2</v>
      </c>
      <c r="BC8" s="82">
        <v>2.2271587642300087E-2</v>
      </c>
      <c r="BD8" s="82">
        <v>5.2210066117554157E-3</v>
      </c>
      <c r="BE8" s="82">
        <v>2.7198832859128509E-3</v>
      </c>
      <c r="BF8" s="82">
        <v>2.489739814386013E-2</v>
      </c>
      <c r="BG8" s="82">
        <v>0.84324554452007083</v>
      </c>
      <c r="BH8" s="82">
        <v>1.4997259891703888E-2</v>
      </c>
      <c r="BI8" s="82"/>
      <c r="BJ8" s="82"/>
      <c r="BK8" s="82">
        <v>7.8929110729658615E-3</v>
      </c>
      <c r="BL8" s="1393">
        <v>4.1609447109218949E-3</v>
      </c>
      <c r="BM8" s="1393">
        <v>2.5229370283965367E-3</v>
      </c>
      <c r="BN8" s="82">
        <v>0</v>
      </c>
      <c r="BO8" s="1393">
        <v>5.8871870731414542E-3</v>
      </c>
      <c r="BP8" s="82">
        <v>1.2743522073124292E-2</v>
      </c>
      <c r="BQ8" s="82"/>
      <c r="BR8" s="82"/>
      <c r="BS8" s="74"/>
      <c r="BT8" s="74"/>
      <c r="BU8" s="74"/>
      <c r="BV8" s="74"/>
      <c r="BW8" s="74"/>
    </row>
    <row r="9" spans="1:75">
      <c r="A9" s="737" t="s">
        <v>313</v>
      </c>
      <c r="B9" s="737" t="s">
        <v>475</v>
      </c>
      <c r="C9" s="750" t="e">
        <f>AVERAGE(AS56:AS59)</f>
        <v>#DIV/0!</v>
      </c>
      <c r="D9" s="750" t="e">
        <f>STDEV(AS56:AS59)</f>
        <v>#DIV/0!</v>
      </c>
      <c r="E9" s="750" t="e">
        <v>#DIV/0!</v>
      </c>
      <c r="F9" s="750" t="e">
        <f>AVERAGE(AS61:AS65)</f>
        <v>#DIV/0!</v>
      </c>
      <c r="G9" s="750" t="e">
        <f>STDEV(AS61:AS65)</f>
        <v>#DIV/0!</v>
      </c>
      <c r="H9" s="750" t="e">
        <v>#DIV/0!</v>
      </c>
      <c r="I9" s="750" t="e">
        <f>AVERAGE(AS67:AS72)</f>
        <v>#DIV/0!</v>
      </c>
      <c r="J9" s="750" t="e">
        <f>STDEV(AS67:AS72)</f>
        <v>#DIV/0!</v>
      </c>
      <c r="K9" s="750" t="e">
        <v>#DIV/0!</v>
      </c>
      <c r="L9" s="1337" t="e">
        <v>#DIV/0!</v>
      </c>
      <c r="M9" s="903" t="e">
        <v>#DIV/0!</v>
      </c>
      <c r="N9" s="1338" t="e">
        <v>#DIV/0!</v>
      </c>
      <c r="O9" s="738">
        <v>0.874</v>
      </c>
      <c r="P9" s="738">
        <v>-0.52</v>
      </c>
      <c r="Q9" s="778">
        <v>0.44574751499999998</v>
      </c>
      <c r="R9" s="736">
        <f t="shared" si="2"/>
        <v>0.19576812542392125</v>
      </c>
      <c r="S9" s="781">
        <f>O9*(((1-(2*C46))/(1-C46))^P9)</f>
        <v>1.8654810021606167</v>
      </c>
      <c r="T9" s="781">
        <f>O9*(((1-(2*C47))/(1-C47))^P9)</f>
        <v>2.2883108056801307</v>
      </c>
      <c r="U9" s="781">
        <v>0.17534322783130851</v>
      </c>
      <c r="V9" s="781">
        <v>0.24748657568820542</v>
      </c>
      <c r="W9" s="1362">
        <v>2.0408242299919253</v>
      </c>
      <c r="X9" s="736" t="e">
        <f t="shared" si="0"/>
        <v>#DIV/0!</v>
      </c>
      <c r="Y9" s="736" t="e">
        <f t="shared" si="1"/>
        <v>#DIV/0!</v>
      </c>
      <c r="Z9" s="736"/>
      <c r="AA9" s="736"/>
      <c r="AB9" s="905" t="e">
        <v>#DIV/0!</v>
      </c>
      <c r="AC9" s="736" t="e">
        <v>#DIV/0!</v>
      </c>
      <c r="AD9" s="910" t="e">
        <v>#DIV/0!</v>
      </c>
      <c r="AE9" s="570"/>
      <c r="AF9" s="570"/>
      <c r="AG9" s="916" t="e">
        <v>#DIV/0!</v>
      </c>
      <c r="AH9" s="917" t="e">
        <v>#DIV/0!</v>
      </c>
      <c r="AI9" s="918" t="e">
        <v>#DIV/0!</v>
      </c>
      <c r="AJ9" s="737" t="s">
        <v>475</v>
      </c>
      <c r="AL9" s="79" t="s">
        <v>1352</v>
      </c>
      <c r="AM9" s="1292">
        <v>6.1816067758297937</v>
      </c>
      <c r="AN9" s="1292">
        <v>0.17223737587800381</v>
      </c>
      <c r="AO9" s="1292">
        <v>-9.5546843013708536</v>
      </c>
      <c r="AP9" s="1292">
        <v>10.773262809767214</v>
      </c>
      <c r="AQ9" s="1292">
        <v>0.31919826046370009</v>
      </c>
      <c r="AR9" s="1293">
        <v>2.9119542843656117</v>
      </c>
      <c r="AS9" s="1292">
        <v>6.7548045121101259</v>
      </c>
      <c r="AT9" s="1292">
        <v>2.946441022370171E-2</v>
      </c>
      <c r="AU9" s="1292">
        <v>6.2214142553125983E-2</v>
      </c>
      <c r="AV9" s="1292">
        <v>0.20422603993239938</v>
      </c>
      <c r="AW9" s="1292">
        <v>1.893870603465753E-2</v>
      </c>
      <c r="AX9" s="1292">
        <v>2.4528441140321534E-2</v>
      </c>
      <c r="AY9" s="1292">
        <v>0.344187531074718</v>
      </c>
      <c r="AZ9" s="1292">
        <v>0.60155293040192548</v>
      </c>
      <c r="BA9" s="1292">
        <v>6.8604980087604253E-2</v>
      </c>
      <c r="BB9" s="1292">
        <v>2.2467070095259483E-2</v>
      </c>
      <c r="BC9" s="1292">
        <v>2.7998902959176099E-2</v>
      </c>
      <c r="BD9" s="1292">
        <v>1.3608664575927538E-2</v>
      </c>
      <c r="BE9" s="1292">
        <v>2.3972179392502736E-3</v>
      </c>
      <c r="BF9" s="1292">
        <v>2.262841969848263E-2</v>
      </c>
      <c r="BG9" s="1292">
        <v>2.8581478732982908</v>
      </c>
      <c r="BH9" s="1292">
        <v>1.9378431234537089E-2</v>
      </c>
      <c r="BI9" s="1292"/>
      <c r="BJ9" s="1292"/>
      <c r="BK9" s="1292">
        <v>5.7599718691667559E-3</v>
      </c>
      <c r="BL9" s="1400">
        <v>6.1003278016495644E-3</v>
      </c>
      <c r="BM9" s="1400">
        <v>5.8954265548984411E-3</v>
      </c>
      <c r="BN9" s="1400">
        <v>7.3361270627837309E-3</v>
      </c>
      <c r="BO9" s="1400">
        <v>5.5323375457060463E-3</v>
      </c>
      <c r="BP9" s="1292">
        <v>1.136736398826383E-2</v>
      </c>
      <c r="BQ9" s="82"/>
      <c r="BR9" s="82"/>
      <c r="BS9" s="74"/>
      <c r="BT9" s="74"/>
      <c r="BU9" s="74"/>
      <c r="BV9" s="74"/>
      <c r="BW9" s="74"/>
    </row>
    <row r="10" spans="1:75">
      <c r="A10" s="739" t="s">
        <v>839</v>
      </c>
      <c r="B10" s="739" t="s">
        <v>9</v>
      </c>
      <c r="C10" s="1470">
        <f>AVERAGE(AT56:AT59)</f>
        <v>155.9647127010758</v>
      </c>
      <c r="D10" s="740">
        <f>STDEV(AT56:AT59)</f>
        <v>6.1101110840999571</v>
      </c>
      <c r="E10" s="1470">
        <v>12.220222168199914</v>
      </c>
      <c r="F10" s="1470">
        <f>AVERAGE(AT61:AT65)</f>
        <v>144.20102125615358</v>
      </c>
      <c r="G10" s="740">
        <f>STDEV(AT61:AT65)</f>
        <v>28.209032760169404</v>
      </c>
      <c r="H10" s="1470">
        <v>56.418065520338807</v>
      </c>
      <c r="I10" s="1470">
        <f>AVERAGE(AT67:AT72)</f>
        <v>752.63548095060708</v>
      </c>
      <c r="J10" s="740">
        <f>STDEV(AT67:AT72)</f>
        <v>241.55970110726949</v>
      </c>
      <c r="K10" s="1470">
        <v>483.11940221453898</v>
      </c>
      <c r="L10" s="929">
        <v>0.20722476769775253</v>
      </c>
      <c r="M10" s="780">
        <v>6.700279720501609E-2</v>
      </c>
      <c r="N10" s="1348">
        <v>0.13400559441003218</v>
      </c>
      <c r="O10" s="741">
        <v>0.77</v>
      </c>
      <c r="P10" s="741">
        <v>1.39</v>
      </c>
      <c r="Q10" s="778">
        <v>0.44574751499999998</v>
      </c>
      <c r="R10" s="741">
        <f t="shared" si="2"/>
        <v>0.19576812542392125</v>
      </c>
      <c r="S10" s="1358">
        <f>O10*(((1-(2*C47))/(1-C47))^P10)</f>
        <v>5.8767200820141134E-2</v>
      </c>
      <c r="T10" s="1358">
        <f>O10*(((1-(2*C46))/(1-C46))^P10)</f>
        <v>0.10146156696336824</v>
      </c>
      <c r="U10" s="1358">
        <v>2.1034487672585263E-2</v>
      </c>
      <c r="V10" s="1358">
        <v>2.1659878470641838E-2</v>
      </c>
      <c r="W10" s="1357">
        <v>7.9801688492726397E-2</v>
      </c>
      <c r="X10" s="736">
        <f t="shared" si="0"/>
        <v>2.5967466555126868</v>
      </c>
      <c r="Y10" s="736">
        <f t="shared" si="1"/>
        <v>0.83961628469957905</v>
      </c>
      <c r="Z10" s="736"/>
      <c r="AA10" s="736"/>
      <c r="AB10" s="925">
        <v>1.0815784197812692</v>
      </c>
      <c r="AC10" s="780">
        <v>0.21578269096714017</v>
      </c>
      <c r="AD10" s="910">
        <v>0.43156538193428035</v>
      </c>
      <c r="AE10" s="570"/>
      <c r="AF10" s="570"/>
      <c r="AG10" s="919">
        <v>0.19159476918896015</v>
      </c>
      <c r="AH10" s="910">
        <v>7.2014761509034117E-2</v>
      </c>
      <c r="AI10" s="906">
        <v>0.14402952301806823</v>
      </c>
      <c r="AJ10" s="739" t="s">
        <v>9</v>
      </c>
      <c r="AL10" s="195" t="s">
        <v>1361</v>
      </c>
      <c r="AM10" s="197"/>
      <c r="AN10" s="197">
        <v>151.50564071562579</v>
      </c>
      <c r="AO10" s="197"/>
      <c r="AP10" s="199" t="s">
        <v>1167</v>
      </c>
      <c r="AQ10" s="197">
        <v>413.12989765883719</v>
      </c>
      <c r="AR10" s="200">
        <v>459</v>
      </c>
      <c r="AS10" s="201" t="s">
        <v>1168</v>
      </c>
      <c r="AT10" s="197">
        <v>398.91365969115463</v>
      </c>
      <c r="AU10" s="197"/>
      <c r="AV10" s="197"/>
      <c r="AW10" s="197">
        <v>476.03448309072019</v>
      </c>
      <c r="AX10" s="197">
        <v>401.06076215873969</v>
      </c>
      <c r="AY10" s="197">
        <v>380.99082101966331</v>
      </c>
      <c r="AZ10" s="197">
        <v>468.2877894543509</v>
      </c>
      <c r="BA10" s="197">
        <v>286.82138415120204</v>
      </c>
      <c r="BB10" s="197">
        <v>425.78023914982236</v>
      </c>
      <c r="BC10" s="197"/>
      <c r="BD10" s="198">
        <v>2.2223073292662002E-2</v>
      </c>
      <c r="BE10" s="196">
        <v>1.1203851014162842</v>
      </c>
      <c r="BF10" s="196">
        <v>3.0722204651357785</v>
      </c>
      <c r="BG10" s="197"/>
      <c r="BH10" s="196">
        <v>5.2732017118761814</v>
      </c>
      <c r="BI10" s="197"/>
      <c r="BJ10" s="197"/>
      <c r="BK10" s="197">
        <v>412.57813583894381</v>
      </c>
      <c r="BL10" s="197">
        <v>47.353420201363043</v>
      </c>
      <c r="BM10" s="198">
        <v>1.6065398822401669E-2</v>
      </c>
      <c r="BN10" s="198">
        <v>4.087122366857774E-2</v>
      </c>
      <c r="BO10" s="196">
        <v>3.5086228495959988</v>
      </c>
      <c r="BP10" s="197">
        <v>25.673891038848762</v>
      </c>
      <c r="BQ10" s="197"/>
      <c r="BR10" s="197"/>
      <c r="BS10" s="202"/>
      <c r="BT10" s="203">
        <v>47.524002075195298</v>
      </c>
      <c r="BU10" s="204">
        <v>2.3882006765053601</v>
      </c>
      <c r="BV10" s="202"/>
      <c r="BW10" s="202" t="s">
        <v>1169</v>
      </c>
    </row>
    <row r="11" spans="1:75" ht="17" thickBot="1">
      <c r="A11" s="739" t="s">
        <v>313</v>
      </c>
      <c r="B11" s="739" t="s">
        <v>468</v>
      </c>
      <c r="C11" s="750">
        <f>AVERAGE(AU56:AU59)</f>
        <v>27.188704942915475</v>
      </c>
      <c r="D11" s="750" t="e">
        <f>STDEV(AU56:AU59)</f>
        <v>#DIV/0!</v>
      </c>
      <c r="E11" s="750" t="e">
        <v>#DIV/0!</v>
      </c>
      <c r="F11" s="740">
        <f>AVERAGE(AU61:AU65)</f>
        <v>94.256359820749438</v>
      </c>
      <c r="G11" s="740">
        <f>STDEV(AU61:AU65)</f>
        <v>75.78478526419363</v>
      </c>
      <c r="H11" s="740">
        <v>151.56957052838726</v>
      </c>
      <c r="I11" s="740">
        <f>AVERAGE(AU67:AU72)</f>
        <v>226.01870948277738</v>
      </c>
      <c r="J11" s="740">
        <f>STDEV(AU67:AU72)</f>
        <v>38.421908544449714</v>
      </c>
      <c r="K11" s="740">
        <v>76.843817088899428</v>
      </c>
      <c r="L11" s="1337">
        <v>0.12029404559089057</v>
      </c>
      <c r="M11" s="903" t="e">
        <v>#DIV/0!</v>
      </c>
      <c r="N11" s="1338" t="e">
        <v>#DIV/0!</v>
      </c>
      <c r="O11" s="741">
        <v>0.66</v>
      </c>
      <c r="P11" s="741">
        <v>0.99</v>
      </c>
      <c r="Q11" s="778">
        <v>0.44574751499999998</v>
      </c>
      <c r="R11" s="741">
        <f t="shared" si="2"/>
        <v>0.19576812542392125</v>
      </c>
      <c r="S11" s="1358">
        <f>O11*(((1-(2*C47))/(1-C47))^P11)</f>
        <v>0.10561593055124756</v>
      </c>
      <c r="T11" s="1358">
        <f>O11*(((1-(2*C46))/(1-C46))^P11)</f>
        <v>0.15582840312511706</v>
      </c>
      <c r="U11" s="1358">
        <v>2.5715446493068797E-2</v>
      </c>
      <c r="V11" s="1358">
        <v>2.4497026080800705E-2</v>
      </c>
      <c r="W11" s="923">
        <v>0.13133137704431636</v>
      </c>
      <c r="X11" s="736">
        <f t="shared" si="0"/>
        <v>0.91595815332309083</v>
      </c>
      <c r="Y11" s="736" t="e">
        <f t="shared" si="1"/>
        <v>#DIV/0!</v>
      </c>
      <c r="Z11" s="736"/>
      <c r="AA11" s="736"/>
      <c r="AB11" s="931">
        <v>0.28845485858589459</v>
      </c>
      <c r="AC11" s="903" t="e">
        <v>#DIV/0!</v>
      </c>
      <c r="AD11" s="909" t="e">
        <v>#DIV/0!</v>
      </c>
      <c r="AE11" s="570"/>
      <c r="AF11" s="570"/>
      <c r="AG11" s="912">
        <v>0.4170290151485524</v>
      </c>
      <c r="AH11" s="909">
        <v>0.34271556883434573</v>
      </c>
      <c r="AI11" s="904">
        <v>0.68543113766869146</v>
      </c>
      <c r="AJ11" s="739" t="s">
        <v>468</v>
      </c>
      <c r="AL11" s="195" t="s">
        <v>1362</v>
      </c>
      <c r="AM11" s="197"/>
      <c r="AN11" s="197">
        <v>155.93039986454767</v>
      </c>
      <c r="AO11" s="197"/>
      <c r="AP11" s="199" t="s">
        <v>1170</v>
      </c>
      <c r="AQ11" s="197">
        <v>430.62916243492748</v>
      </c>
      <c r="AR11" s="200">
        <v>459</v>
      </c>
      <c r="AS11" s="201" t="s">
        <v>1171</v>
      </c>
      <c r="AT11" s="197">
        <v>393.26542101670259</v>
      </c>
      <c r="AU11" s="197"/>
      <c r="AV11" s="197"/>
      <c r="AW11" s="197">
        <v>471.22700521128451</v>
      </c>
      <c r="AX11" s="197">
        <v>403.54475662278651</v>
      </c>
      <c r="AY11" s="197">
        <v>380.87703562521131</v>
      </c>
      <c r="AZ11" s="197">
        <v>469.1705420899367</v>
      </c>
      <c r="BA11" s="197">
        <v>293.2699538135742</v>
      </c>
      <c r="BB11" s="197">
        <v>435.56242070519937</v>
      </c>
      <c r="BC11" s="197"/>
      <c r="BD11" s="198">
        <v>1.8805073372146982E-2</v>
      </c>
      <c r="BE11" s="196">
        <v>1.2354462483860202</v>
      </c>
      <c r="BF11" s="196">
        <v>2.5104360171343321</v>
      </c>
      <c r="BG11" s="197"/>
      <c r="BH11" s="196">
        <v>5.1678872262351563</v>
      </c>
      <c r="BI11" s="197"/>
      <c r="BJ11" s="197"/>
      <c r="BK11" s="197">
        <v>409.17223612119386</v>
      </c>
      <c r="BL11" s="197">
        <v>48.580465545984815</v>
      </c>
      <c r="BM11" s="198">
        <v>9.1342516355820622E-3</v>
      </c>
      <c r="BN11" s="198">
        <v>4.879193618328715E-2</v>
      </c>
      <c r="BO11" s="196">
        <v>3.0712091417155776</v>
      </c>
      <c r="BP11" s="197">
        <v>26.179856560307655</v>
      </c>
      <c r="BQ11" s="197"/>
      <c r="BR11" s="197"/>
      <c r="BS11" s="202"/>
      <c r="BT11" s="203">
        <v>44.130001068115298</v>
      </c>
      <c r="BU11" s="204">
        <v>2.9970226126525343</v>
      </c>
      <c r="BV11" s="202"/>
      <c r="BW11" s="202" t="s">
        <v>1172</v>
      </c>
    </row>
    <row r="12" spans="1:75">
      <c r="A12" s="435" t="s">
        <v>313</v>
      </c>
      <c r="B12" s="435" t="s">
        <v>461</v>
      </c>
      <c r="C12" s="1453">
        <f>AVERAGE(AV56:AV59)</f>
        <v>19.651537394219183</v>
      </c>
      <c r="D12" s="434">
        <f>STDEV(AV56:AV59)</f>
        <v>3.9104945671595854</v>
      </c>
      <c r="E12" s="1453">
        <v>7.8209891343191709</v>
      </c>
      <c r="F12" s="1453">
        <f>AVERAGE(AV61:AV65)</f>
        <v>95.117830359805708</v>
      </c>
      <c r="G12" s="434">
        <f>STDEV(AV61:AV65)</f>
        <v>36.26847545117878</v>
      </c>
      <c r="H12" s="1453">
        <v>72.53695090235756</v>
      </c>
      <c r="I12" s="1453">
        <f>AVERAGE(AV67:AV72)</f>
        <v>153.61603226912121</v>
      </c>
      <c r="J12" s="434">
        <f>STDEV(AV67:AV72)</f>
        <v>23.068341990396352</v>
      </c>
      <c r="K12" s="1453">
        <v>46.136683980792704</v>
      </c>
      <c r="L12" s="930">
        <v>0.12792634404064995</v>
      </c>
      <c r="M12" s="570">
        <v>3.189150479312744E-2</v>
      </c>
      <c r="N12" s="879">
        <v>6.378300958625488E-2</v>
      </c>
      <c r="O12" s="433">
        <v>0.66</v>
      </c>
      <c r="P12" s="433">
        <v>0.99</v>
      </c>
      <c r="Q12" s="778">
        <v>0.44574751499999998</v>
      </c>
      <c r="R12" s="433">
        <f t="shared" si="2"/>
        <v>0.19576812542392125</v>
      </c>
      <c r="S12" s="800">
        <f>O12*(((1-(2*C47))/(1-C47))^P12)</f>
        <v>0.10561593055124756</v>
      </c>
      <c r="T12" s="800">
        <f>O12*(((1-(2*C46))/(1-C46))^P12)</f>
        <v>0.15582840312511706</v>
      </c>
      <c r="U12" s="800">
        <v>2.5715446493068797E-2</v>
      </c>
      <c r="V12" s="800">
        <v>2.4497026080800705E-2</v>
      </c>
      <c r="W12" s="888">
        <v>0.13133137704431636</v>
      </c>
      <c r="X12" s="721">
        <f t="shared" si="0"/>
        <v>0.97407296656519937</v>
      </c>
      <c r="Y12" s="721">
        <f t="shared" si="1"/>
        <v>0.24283233383265293</v>
      </c>
      <c r="Z12" s="721"/>
      <c r="AA12" s="721"/>
      <c r="AB12" s="885">
        <v>0.20660203581055825</v>
      </c>
      <c r="AC12" s="570">
        <v>8.8859964673697306E-2</v>
      </c>
      <c r="AD12" s="910">
        <v>0.17771992934739461</v>
      </c>
      <c r="AE12" s="570"/>
      <c r="AF12" s="570"/>
      <c r="AG12" s="1321">
        <v>0.61919207881354466</v>
      </c>
      <c r="AH12" s="910">
        <v>0.25374846947677893</v>
      </c>
      <c r="AI12" s="906">
        <v>0.50749693895355785</v>
      </c>
      <c r="AJ12" s="435" t="s">
        <v>461</v>
      </c>
      <c r="AL12" s="177" t="s">
        <v>1363</v>
      </c>
      <c r="AM12" s="277"/>
      <c r="AN12" s="179">
        <v>20.347699170158482</v>
      </c>
      <c r="AO12" s="818"/>
      <c r="AP12" s="179">
        <v>989380.71040827956</v>
      </c>
      <c r="AQ12" s="179">
        <v>4757.6625738541488</v>
      </c>
      <c r="AR12" s="180">
        <v>55500</v>
      </c>
      <c r="AS12" s="179">
        <v>54707.131297548294</v>
      </c>
      <c r="AT12" s="179">
        <v>139.76586685248449</v>
      </c>
      <c r="AU12" s="273"/>
      <c r="AV12" s="273"/>
      <c r="AW12" s="179">
        <v>61.115634347481503</v>
      </c>
      <c r="AX12" s="179">
        <v>61.024551287134088</v>
      </c>
      <c r="AY12" s="179">
        <v>184.41009415743639</v>
      </c>
      <c r="AZ12" s="179">
        <v>183.60775136502087</v>
      </c>
      <c r="BA12" s="178">
        <v>4.5225156829405195</v>
      </c>
      <c r="BB12" s="178">
        <v>6.3761444370496303</v>
      </c>
      <c r="BC12" s="178"/>
      <c r="BD12" s="179">
        <v>20.815195617666483</v>
      </c>
      <c r="BE12" s="178">
        <v>2.138262414299811</v>
      </c>
      <c r="BF12" s="178">
        <v>1.3178562408782284</v>
      </c>
      <c r="BG12" s="277"/>
      <c r="BH12" s="178">
        <v>1.4645698325941354</v>
      </c>
      <c r="BI12" s="818"/>
      <c r="BJ12" s="818"/>
      <c r="BK12" s="178">
        <v>2.7568395881426708</v>
      </c>
      <c r="BL12" s="178">
        <v>1.1431839882783157</v>
      </c>
      <c r="BM12" s="178">
        <v>9.7903251515007366</v>
      </c>
      <c r="BN12" s="179">
        <v>15.592621262222906</v>
      </c>
      <c r="BO12" s="179">
        <v>30.933187794748079</v>
      </c>
      <c r="BP12" s="181">
        <v>0.75183387379718303</v>
      </c>
      <c r="BQ12" s="818"/>
      <c r="BR12" s="818"/>
      <c r="BS12" s="182"/>
      <c r="BT12" s="183">
        <v>38.698001861572294</v>
      </c>
      <c r="BU12" s="184">
        <v>1.1493866660294343</v>
      </c>
      <c r="BV12" s="182"/>
      <c r="BW12" s="185" t="s">
        <v>1173</v>
      </c>
    </row>
    <row r="13" spans="1:75" ht="17" thickBot="1">
      <c r="A13" s="435" t="s">
        <v>313</v>
      </c>
      <c r="B13" s="1320" t="s">
        <v>457</v>
      </c>
      <c r="C13" s="1453">
        <f>AVERAGE(AW56:AW59)</f>
        <v>131.52521791408978</v>
      </c>
      <c r="D13" s="434">
        <f>STDEV(AW56:AW59)</f>
        <v>10.317317209593721</v>
      </c>
      <c r="E13" s="1453">
        <v>20.634634419187442</v>
      </c>
      <c r="F13" s="405">
        <f>AVERAGE(AW61:AW65)</f>
        <v>0.26234288835391423</v>
      </c>
      <c r="G13" s="405" t="e">
        <f>STDEV(AW61:AW65)</f>
        <v>#DIV/0!</v>
      </c>
      <c r="H13" s="405" t="e">
        <v>#DIV/0!</v>
      </c>
      <c r="I13" s="405" t="e">
        <f>AVERAGE(AW67:AW72)</f>
        <v>#DIV/0!</v>
      </c>
      <c r="J13" s="405" t="e">
        <f>STDEV(AW67:AW72)</f>
        <v>#DIV/0!</v>
      </c>
      <c r="K13" s="405" t="e">
        <v>#DIV/0!</v>
      </c>
      <c r="L13" s="1323" t="e">
        <v>#DIV/0!</v>
      </c>
      <c r="M13" s="571" t="e">
        <v>#DIV/0!</v>
      </c>
      <c r="N13" s="862" t="e">
        <v>#DIV/0!</v>
      </c>
      <c r="O13" s="433">
        <v>0.76</v>
      </c>
      <c r="P13" s="433">
        <v>-2.81</v>
      </c>
      <c r="Q13" s="778">
        <v>0.44574751499999998</v>
      </c>
      <c r="R13" s="433">
        <f t="shared" si="2"/>
        <v>0.19576812542392125</v>
      </c>
      <c r="S13" s="570" cm="1">
        <f t="array" ref="S13:S22">O13:O22*(((1-(2*C46))/(1-C46))^P13:P22)</f>
        <v>45.728694239690597</v>
      </c>
      <c r="T13" s="570" cm="1">
        <f t="array" ref="T13:T22">O13:O22*(((1-(2*C47))/(1-C47))^P13:P22)</f>
        <v>137.92424764735111</v>
      </c>
      <c r="U13" s="570">
        <v>28.576405612556414</v>
      </c>
      <c r="V13" s="570">
        <v>63.619147795104098</v>
      </c>
      <c r="W13" s="888">
        <v>74.305099852247011</v>
      </c>
      <c r="X13" s="721" t="e">
        <f t="shared" si="0"/>
        <v>#DIV/0!</v>
      </c>
      <c r="Y13" s="721" t="e">
        <f t="shared" si="1"/>
        <v>#DIV/0!</v>
      </c>
      <c r="Z13" s="721"/>
      <c r="AA13" s="721"/>
      <c r="AB13" s="857">
        <v>501.34851658969086</v>
      </c>
      <c r="AC13" s="406" t="e">
        <v>#DIV/0!</v>
      </c>
      <c r="AD13" s="909" t="e">
        <v>#DIV/0!</v>
      </c>
      <c r="AE13" s="573"/>
      <c r="AF13" s="570"/>
      <c r="AG13" s="912" t="e">
        <v>#DIV/0!</v>
      </c>
      <c r="AH13" s="909" t="e">
        <v>#DIV/0!</v>
      </c>
      <c r="AI13" s="904" t="e">
        <v>#DIV/0!</v>
      </c>
      <c r="AJ13" s="1320" t="s">
        <v>457</v>
      </c>
      <c r="AL13" s="186" t="s">
        <v>1364</v>
      </c>
      <c r="AM13" s="274"/>
      <c r="AN13" s="188">
        <v>26.085149243179583</v>
      </c>
      <c r="AO13" s="819"/>
      <c r="AP13" s="188">
        <v>901789.79491629696</v>
      </c>
      <c r="AQ13" s="188">
        <v>4525.7390024031411</v>
      </c>
      <c r="AR13" s="189">
        <v>55500</v>
      </c>
      <c r="AS13" s="188">
        <v>56295.171411758718</v>
      </c>
      <c r="AT13" s="188">
        <v>152.87935752992328</v>
      </c>
      <c r="AU13" s="274"/>
      <c r="AV13" s="274"/>
      <c r="AW13" s="188">
        <v>55.950758024547355</v>
      </c>
      <c r="AX13" s="188">
        <v>56.039117419628042</v>
      </c>
      <c r="AY13" s="188">
        <v>172.84295997728739</v>
      </c>
      <c r="AZ13" s="188">
        <v>173.62944064551587</v>
      </c>
      <c r="BA13" s="187">
        <v>4.1583913686220031</v>
      </c>
      <c r="BB13" s="187">
        <v>6.5396938994877001</v>
      </c>
      <c r="BC13" s="187"/>
      <c r="BD13" s="188">
        <v>19.555195205625317</v>
      </c>
      <c r="BE13" s="187">
        <v>2.1000389665663075</v>
      </c>
      <c r="BF13" s="187">
        <v>1.5658682194929381</v>
      </c>
      <c r="BG13" s="278"/>
      <c r="BH13" s="187">
        <v>1.4215293701516785</v>
      </c>
      <c r="BI13" s="819"/>
      <c r="BJ13" s="819"/>
      <c r="BK13" s="187">
        <v>2.9935060243979406</v>
      </c>
      <c r="BL13" s="187">
        <v>1.1574861725664127</v>
      </c>
      <c r="BM13" s="187">
        <v>9.2624330150571481</v>
      </c>
      <c r="BN13" s="188">
        <v>14.883311806449024</v>
      </c>
      <c r="BO13" s="188">
        <v>29.81649347547237</v>
      </c>
      <c r="BP13" s="190">
        <v>0.58124738423269684</v>
      </c>
      <c r="BQ13" s="819"/>
      <c r="BR13" s="819"/>
      <c r="BS13" s="191"/>
      <c r="BT13" s="192">
        <v>42.093002319335994</v>
      </c>
      <c r="BU13" s="193">
        <v>1.1499882067801293</v>
      </c>
      <c r="BV13" s="191"/>
      <c r="BW13" s="194" t="s">
        <v>1174</v>
      </c>
    </row>
    <row r="14" spans="1:75">
      <c r="A14" s="435" t="s">
        <v>313</v>
      </c>
      <c r="B14" s="435" t="s">
        <v>832</v>
      </c>
      <c r="C14" s="1453">
        <f>AVERAGE(AX56:AX59)</f>
        <v>149.13343986017048</v>
      </c>
      <c r="D14" s="434">
        <f>STDEV(AX56:AX59)</f>
        <v>9.21211483974243</v>
      </c>
      <c r="E14" s="1453">
        <v>18.42422967948486</v>
      </c>
      <c r="F14" s="1554">
        <f>AVERAGE(AX61:AX65)</f>
        <v>0.17815513921326295</v>
      </c>
      <c r="G14" s="405">
        <f>STDEV(AX61:AX65)</f>
        <v>0.14283614131227418</v>
      </c>
      <c r="H14" s="1554">
        <v>0.28567228262454836</v>
      </c>
      <c r="I14" s="1440">
        <f>AVERAGE(AX67:AX72)</f>
        <v>2.7474324332519888</v>
      </c>
      <c r="J14" s="434">
        <f>STDEV(AX67:AX72)</f>
        <v>0.93741716799276287</v>
      </c>
      <c r="K14" s="1440">
        <v>1.8748343359855257</v>
      </c>
      <c r="L14" s="930">
        <v>54.281021820671022</v>
      </c>
      <c r="M14" s="570">
        <v>18.821619072993958</v>
      </c>
      <c r="N14" s="879">
        <v>37.643238145987915</v>
      </c>
      <c r="O14" s="433">
        <v>0.76</v>
      </c>
      <c r="P14" s="433">
        <v>-2.81</v>
      </c>
      <c r="Q14" s="778">
        <v>0.44574751499999998</v>
      </c>
      <c r="R14" s="433">
        <f t="shared" si="2"/>
        <v>0.19576812542392125</v>
      </c>
      <c r="S14" s="570">
        <v>45.728694239690597</v>
      </c>
      <c r="T14" s="570">
        <v>137.92424764735111</v>
      </c>
      <c r="U14" s="570">
        <v>28.576405612556414</v>
      </c>
      <c r="V14" s="570">
        <v>63.619147795104098</v>
      </c>
      <c r="W14" s="888">
        <v>74.305099852247011</v>
      </c>
      <c r="X14" s="721">
        <f t="shared" si="0"/>
        <v>0.73051542799359481</v>
      </c>
      <c r="Y14" s="721">
        <f t="shared" si="1"/>
        <v>0.25330184752352214</v>
      </c>
      <c r="Z14" s="721"/>
      <c r="AA14" s="721"/>
      <c r="AB14" s="857">
        <v>837.09872484592393</v>
      </c>
      <c r="AC14" s="406">
        <v>673.13410651635479</v>
      </c>
      <c r="AD14" s="909">
        <v>1346.2682130327096</v>
      </c>
      <c r="AE14" s="570">
        <f>AVERAGE(AX61,AX62,0.18,0.23,AX65)/I14</f>
        <v>6.8752585592933083E-2</v>
      </c>
      <c r="AF14" s="570"/>
      <c r="AG14" s="912">
        <v>6.4844229491165403E-2</v>
      </c>
      <c r="AH14" s="909">
        <v>5.6500915089341013E-2</v>
      </c>
      <c r="AI14" s="904">
        <v>0.11300183017868203</v>
      </c>
      <c r="AJ14" s="435" t="s">
        <v>832</v>
      </c>
      <c r="AL14" s="211" t="s">
        <v>1365</v>
      </c>
      <c r="AM14" s="115"/>
      <c r="AN14" s="116">
        <v>14.250827718066663</v>
      </c>
      <c r="AO14" s="115"/>
      <c r="AP14" s="116">
        <v>1076868.907929834</v>
      </c>
      <c r="AQ14" s="116">
        <v>4991.7505434087725</v>
      </c>
      <c r="AR14" s="118">
        <v>56500</v>
      </c>
      <c r="AS14" s="116">
        <v>55028.564476796862</v>
      </c>
      <c r="AT14" s="116">
        <v>151.66218536039531</v>
      </c>
      <c r="AU14" s="275"/>
      <c r="AV14" s="115"/>
      <c r="AW14" s="116">
        <v>64.724786479514307</v>
      </c>
      <c r="AX14" s="116">
        <v>61.754460076954601</v>
      </c>
      <c r="AY14" s="116">
        <v>189.692227866823</v>
      </c>
      <c r="AZ14" s="116">
        <v>187.93023026163897</v>
      </c>
      <c r="BA14" s="119">
        <v>5.5593705143000243</v>
      </c>
      <c r="BB14" s="119">
        <v>6.1920030785107274</v>
      </c>
      <c r="BC14" s="119"/>
      <c r="BD14" s="116">
        <v>17.741354566818288</v>
      </c>
      <c r="BE14" s="119">
        <v>2.2982029828387303</v>
      </c>
      <c r="BF14" s="119">
        <v>1.734827169741328</v>
      </c>
      <c r="BG14" s="817"/>
      <c r="BH14" s="119">
        <v>1.5897397516218044</v>
      </c>
      <c r="BI14" s="115"/>
      <c r="BJ14" s="115"/>
      <c r="BK14" s="119">
        <v>2.7412788966268007</v>
      </c>
      <c r="BL14" s="115" t="s">
        <v>125</v>
      </c>
      <c r="BM14" s="119">
        <v>1.3257825222176627</v>
      </c>
      <c r="BN14" s="119">
        <v>3.4355444166401363</v>
      </c>
      <c r="BO14" s="116">
        <v>26.340613675144112</v>
      </c>
      <c r="BP14" s="117">
        <v>0.86599170276726956</v>
      </c>
      <c r="BQ14" s="115"/>
      <c r="BR14" s="115"/>
      <c r="BS14" s="114"/>
      <c r="BT14" s="120">
        <v>44.130002975463896</v>
      </c>
      <c r="BU14" s="121">
        <v>0.88881266917306545</v>
      </c>
      <c r="BV14" s="114"/>
      <c r="BW14" s="114" t="s">
        <v>1176</v>
      </c>
    </row>
    <row r="15" spans="1:75">
      <c r="A15" s="435" t="s">
        <v>313</v>
      </c>
      <c r="B15" s="435" t="s">
        <v>453</v>
      </c>
      <c r="C15" s="405">
        <f>AVERAGE(AY56:AY59)</f>
        <v>246.09026508010075</v>
      </c>
      <c r="D15" s="405" t="e">
        <f>STDEV(AY56:AY59)</f>
        <v>#DIV/0!</v>
      </c>
      <c r="E15" s="405" t="e">
        <v>#DIV/0!</v>
      </c>
      <c r="F15" s="405" t="e">
        <f>AVERAGE(AY61:AY65)</f>
        <v>#DIV/0!</v>
      </c>
      <c r="G15" s="405" t="e">
        <f>STDEV(AY61:AY65)</f>
        <v>#DIV/0!</v>
      </c>
      <c r="H15" s="405" t="e">
        <v>#DIV/0!</v>
      </c>
      <c r="I15" s="405" t="e">
        <f>AVERAGE(AY67:AY72)</f>
        <v>#DIV/0!</v>
      </c>
      <c r="J15" s="405" t="e">
        <f>STDEV(AY67:AY72)</f>
        <v>#DIV/0!</v>
      </c>
      <c r="K15" s="405" t="e">
        <v>#DIV/0!</v>
      </c>
      <c r="L15" s="1323" t="e">
        <v>#DIV/0!</v>
      </c>
      <c r="M15" s="571" t="e">
        <v>#DIV/0!</v>
      </c>
      <c r="N15" s="862" t="e">
        <v>#DIV/0!</v>
      </c>
      <c r="O15" s="433">
        <v>0.63</v>
      </c>
      <c r="P15" s="433">
        <v>-3.23</v>
      </c>
      <c r="Q15" s="778">
        <v>0.44574751499999998</v>
      </c>
      <c r="R15" s="433">
        <f t="shared" si="2"/>
        <v>0.19576812542392125</v>
      </c>
      <c r="S15" s="570">
        <v>69.931395449973891</v>
      </c>
      <c r="T15" s="570">
        <v>248.76304028831365</v>
      </c>
      <c r="U15" s="570">
        <v>52.252494265737127</v>
      </c>
      <c r="V15" s="570">
        <v>126.57915057260263</v>
      </c>
      <c r="W15" s="888">
        <v>122.18388971571102</v>
      </c>
      <c r="X15" s="721" t="e">
        <f t="shared" si="0"/>
        <v>#DIV/0!</v>
      </c>
      <c r="Y15" s="721" t="e">
        <f t="shared" si="1"/>
        <v>#DIV/0!</v>
      </c>
      <c r="Z15" s="721"/>
      <c r="AA15" s="721"/>
      <c r="AB15" s="907" t="e">
        <v>#DIV/0!</v>
      </c>
      <c r="AC15" s="433" t="e">
        <v>#DIV/0!</v>
      </c>
      <c r="AD15" s="910" t="e">
        <v>#DIV/0!</v>
      </c>
      <c r="AE15" s="570"/>
      <c r="AF15" s="570"/>
      <c r="AG15" s="919" t="e">
        <v>#DIV/0!</v>
      </c>
      <c r="AH15" s="910" t="e">
        <v>#DIV/0!</v>
      </c>
      <c r="AI15" s="906" t="e">
        <v>#DIV/0!</v>
      </c>
      <c r="AJ15" s="435" t="s">
        <v>453</v>
      </c>
      <c r="AL15" s="205" t="s">
        <v>1366</v>
      </c>
      <c r="AM15" s="153"/>
      <c r="AN15" s="153" t="s">
        <v>1367</v>
      </c>
      <c r="AO15" s="153"/>
      <c r="AP15" s="155">
        <v>810954.17362147477</v>
      </c>
      <c r="AQ15" s="155">
        <v>708.95054075622261</v>
      </c>
      <c r="AR15" s="156">
        <v>231200</v>
      </c>
      <c r="AS15" s="155">
        <v>228608.66441678253</v>
      </c>
      <c r="AT15" s="155">
        <v>152.00457598589429</v>
      </c>
      <c r="AU15" s="155"/>
      <c r="AV15" s="155"/>
      <c r="AW15" s="155">
        <v>131.90732633305294</v>
      </c>
      <c r="AX15" s="155">
        <v>131.96822367795821</v>
      </c>
      <c r="AY15" s="155">
        <v>197.74089716588665</v>
      </c>
      <c r="AZ15" s="155">
        <v>194.38971616773298</v>
      </c>
      <c r="BA15" s="155">
        <v>253.12424120952244</v>
      </c>
      <c r="BB15" s="155">
        <v>298.36608408816539</v>
      </c>
      <c r="BC15" s="155"/>
      <c r="BD15" s="155">
        <v>156.69818052936418</v>
      </c>
      <c r="BE15" s="155">
        <v>190.91243092602289</v>
      </c>
      <c r="BF15" s="155">
        <v>133.79526874177759</v>
      </c>
      <c r="BG15" s="153"/>
      <c r="BH15" s="155">
        <v>121.01988265875124</v>
      </c>
      <c r="BI15" s="155"/>
      <c r="BJ15" s="155"/>
      <c r="BK15" s="155">
        <v>149.09302642457851</v>
      </c>
      <c r="BL15" s="155">
        <v>10.826339439246651</v>
      </c>
      <c r="BM15" s="155">
        <v>35.903461366926265</v>
      </c>
      <c r="BN15" s="155">
        <v>17.100195634208369</v>
      </c>
      <c r="BO15" s="155">
        <v>96.21619901333041</v>
      </c>
      <c r="BP15" s="155">
        <v>225.87654520421839</v>
      </c>
      <c r="BQ15" s="153"/>
      <c r="BR15" s="210"/>
      <c r="BS15" s="157"/>
      <c r="BT15" s="158">
        <v>50.240001678466797</v>
      </c>
      <c r="BU15" s="159">
        <v>0.95866823271052626</v>
      </c>
      <c r="BV15" s="157"/>
      <c r="BW15" s="157" t="s">
        <v>1178</v>
      </c>
    </row>
    <row r="16" spans="1:75">
      <c r="A16" s="435" t="s">
        <v>313</v>
      </c>
      <c r="B16" s="435" t="s">
        <v>449</v>
      </c>
      <c r="C16" s="1467">
        <f>AVERAGE(AZ56:AZ59)</f>
        <v>212.78175039291636</v>
      </c>
      <c r="D16" s="720">
        <f>STDEV(AZ56:AZ59)</f>
        <v>25.768802789376611</v>
      </c>
      <c r="E16" s="1467">
        <v>51.537605578753222</v>
      </c>
      <c r="F16" s="405" t="e">
        <f>AVERAGE(AZ61:AZ65)</f>
        <v>#DIV/0!</v>
      </c>
      <c r="G16" s="405" t="e">
        <f>STDEV(AZ61:AZ65)</f>
        <v>#DIV/0!</v>
      </c>
      <c r="H16" s="405" t="e">
        <v>#DIV/0!</v>
      </c>
      <c r="I16" s="405" t="e">
        <f>AVERAGE(AZ67:AZ72)</f>
        <v>#DIV/0!</v>
      </c>
      <c r="J16" s="405" t="e">
        <f>STDEV(AZ67:AZ72)</f>
        <v>#DIV/0!</v>
      </c>
      <c r="K16" s="405" t="e">
        <v>#DIV/0!</v>
      </c>
      <c r="L16" s="1323" t="e">
        <v>#DIV/0!</v>
      </c>
      <c r="M16" s="571" t="e">
        <v>#DIV/0!</v>
      </c>
      <c r="N16" s="862" t="e">
        <v>#DIV/0!</v>
      </c>
      <c r="O16" s="433">
        <v>0.63</v>
      </c>
      <c r="P16" s="433">
        <v>-3.23</v>
      </c>
      <c r="Q16" s="778">
        <v>0.44574751499999998</v>
      </c>
      <c r="R16" s="433">
        <f t="shared" si="2"/>
        <v>0.19576812542392125</v>
      </c>
      <c r="S16" s="570">
        <v>69.931395449973891</v>
      </c>
      <c r="T16" s="570">
        <v>248.76304028831365</v>
      </c>
      <c r="U16" s="570">
        <v>52.252494265737127</v>
      </c>
      <c r="V16" s="570">
        <v>126.57915057260263</v>
      </c>
      <c r="W16" s="888">
        <v>122.18388971571102</v>
      </c>
      <c r="X16" s="721" t="e">
        <f t="shared" si="0"/>
        <v>#DIV/0!</v>
      </c>
      <c r="Y16" s="721" t="e">
        <f t="shared" si="1"/>
        <v>#DIV/0!</v>
      </c>
      <c r="Z16" s="721"/>
      <c r="AA16" s="721"/>
      <c r="AB16" s="857" t="e">
        <v>#DIV/0!</v>
      </c>
      <c r="AC16" s="406" t="e">
        <v>#DIV/0!</v>
      </c>
      <c r="AD16" s="909" t="e">
        <v>#DIV/0!</v>
      </c>
      <c r="AE16" s="570"/>
      <c r="AF16" s="570"/>
      <c r="AG16" s="919" t="e">
        <v>#DIV/0!</v>
      </c>
      <c r="AH16" s="910" t="e">
        <v>#DIV/0!</v>
      </c>
      <c r="AI16" s="906" t="e">
        <v>#DIV/0!</v>
      </c>
      <c r="AJ16" s="435" t="s">
        <v>449</v>
      </c>
      <c r="AL16" s="205" t="s">
        <v>1368</v>
      </c>
      <c r="AM16" s="153"/>
      <c r="AN16" s="153" t="s">
        <v>182</v>
      </c>
      <c r="AO16" s="153"/>
      <c r="AP16" s="155">
        <v>768532.84659676417</v>
      </c>
      <c r="AQ16" s="155">
        <v>675.30640537577824</v>
      </c>
      <c r="AR16" s="156">
        <v>231200</v>
      </c>
      <c r="AS16" s="155">
        <v>237035.47411287541</v>
      </c>
      <c r="AT16" s="155">
        <v>140.49294128516382</v>
      </c>
      <c r="AU16" s="155"/>
      <c r="AV16" s="155"/>
      <c r="AW16" s="155">
        <v>147.22404767420227</v>
      </c>
      <c r="AX16" s="155">
        <v>137.00624854146454</v>
      </c>
      <c r="AY16" s="155">
        <v>253.54190245149715</v>
      </c>
      <c r="AZ16" s="155">
        <v>249.61107316570414</v>
      </c>
      <c r="BA16" s="155">
        <v>256.47006103443738</v>
      </c>
      <c r="BB16" s="155">
        <v>305.36616285393171</v>
      </c>
      <c r="BC16" s="155"/>
      <c r="BD16" s="155">
        <v>189.86029536310156</v>
      </c>
      <c r="BE16" s="155">
        <v>214.47207243337127</v>
      </c>
      <c r="BF16" s="155">
        <v>132.89381916075934</v>
      </c>
      <c r="BG16" s="155"/>
      <c r="BH16" s="155">
        <v>120.29649688146021</v>
      </c>
      <c r="BI16" s="155"/>
      <c r="BJ16" s="155"/>
      <c r="BK16" s="155">
        <v>162.23003989384151</v>
      </c>
      <c r="BL16" s="271">
        <v>7.3786952476526109</v>
      </c>
      <c r="BM16" s="155">
        <v>61.049770197440587</v>
      </c>
      <c r="BN16" s="155">
        <v>15.780573747025695</v>
      </c>
      <c r="BO16" s="155">
        <v>161.09431782603832</v>
      </c>
      <c r="BP16" s="155">
        <v>230.63406778186646</v>
      </c>
      <c r="BQ16" s="210"/>
      <c r="BR16" s="153"/>
      <c r="BS16" s="661"/>
      <c r="BT16" s="158">
        <v>40.735000610351598</v>
      </c>
      <c r="BU16" s="159">
        <v>0.96357969772416963</v>
      </c>
      <c r="BV16" s="157"/>
      <c r="BW16" s="157" t="s">
        <v>1180</v>
      </c>
    </row>
    <row r="17" spans="1:75">
      <c r="A17" s="435" t="s">
        <v>313</v>
      </c>
      <c r="B17" s="435" t="s">
        <v>13</v>
      </c>
      <c r="C17" s="1453">
        <f>AVERAGE(BA56:BA59)</f>
        <v>305.38772404964368</v>
      </c>
      <c r="D17" s="434">
        <f>STDEV(BA56:BA59)</f>
        <v>10.88979720413441</v>
      </c>
      <c r="E17" s="1453">
        <v>21.779594408268821</v>
      </c>
      <c r="F17" s="1554">
        <f>AVERAGE(BA61:BA65)</f>
        <v>1.1146224585091526</v>
      </c>
      <c r="G17" s="405">
        <f>STDEV(BA61:BA65)</f>
        <v>1.3956334344412407</v>
      </c>
      <c r="H17" s="1554">
        <v>2.7912668688824813</v>
      </c>
      <c r="I17" s="1467">
        <f>AVERAGE(BA67:BA72)</f>
        <v>33.132231416928214</v>
      </c>
      <c r="J17" s="720">
        <f>STDEV(BA67:BA72)</f>
        <v>6.7463149083038374</v>
      </c>
      <c r="K17" s="1467">
        <v>13.492629816607675</v>
      </c>
      <c r="L17" s="1331">
        <v>9.2172398594805269</v>
      </c>
      <c r="M17" s="573">
        <v>1.9053575865559202</v>
      </c>
      <c r="N17" s="864">
        <v>3.8107151731118405</v>
      </c>
      <c r="O17" s="433">
        <v>0.23</v>
      </c>
      <c r="P17" s="433">
        <v>-2</v>
      </c>
      <c r="Q17" s="778">
        <v>0.44574751499999998</v>
      </c>
      <c r="R17" s="433">
        <f t="shared" si="2"/>
        <v>0.19576812542392125</v>
      </c>
      <c r="S17" s="570">
        <v>4.2480249511158528</v>
      </c>
      <c r="T17" s="570">
        <v>9.3203861995957986</v>
      </c>
      <c r="U17" s="570">
        <v>1.753254793297212</v>
      </c>
      <c r="V17" s="570">
        <v>3.3191064551827338</v>
      </c>
      <c r="W17" s="888">
        <v>6.0012797444130648</v>
      </c>
      <c r="X17" s="721">
        <f t="shared" si="0"/>
        <v>1.5358790544735701</v>
      </c>
      <c r="Y17" s="721">
        <f t="shared" si="1"/>
        <v>0.31749187968278381</v>
      </c>
      <c r="Z17" s="721"/>
      <c r="AA17" s="721"/>
      <c r="AB17" s="857">
        <v>273.98310676254511</v>
      </c>
      <c r="AC17" s="406">
        <v>343.1969409501462</v>
      </c>
      <c r="AD17" s="909">
        <v>686.3938819002924</v>
      </c>
      <c r="AE17" s="570">
        <f>AVERAGE(BA62,BA64,BA65)/I17</f>
        <v>3.3641635677446699E-2</v>
      </c>
      <c r="AF17" s="570"/>
      <c r="AG17" s="912">
        <v>3.3641635677446699E-2</v>
      </c>
      <c r="AH17" s="909">
        <v>4.2676474501379645E-2</v>
      </c>
      <c r="AI17" s="904">
        <v>8.535294900275929E-2</v>
      </c>
      <c r="AJ17" s="435" t="s">
        <v>13</v>
      </c>
      <c r="AL17" s="205" t="s">
        <v>1369</v>
      </c>
      <c r="AM17" s="272"/>
      <c r="AN17" s="272" t="s">
        <v>320</v>
      </c>
      <c r="AO17" s="272"/>
      <c r="AP17" s="155">
        <v>748650.44559706945</v>
      </c>
      <c r="AQ17" s="155">
        <v>673.0268746309556</v>
      </c>
      <c r="AR17" s="156">
        <v>231200</v>
      </c>
      <c r="AS17" s="155">
        <v>223875.60657442364</v>
      </c>
      <c r="AT17" s="155">
        <v>145.95093635866138</v>
      </c>
      <c r="AU17" s="155"/>
      <c r="AV17" s="153"/>
      <c r="AW17" s="155">
        <v>154.83602770906973</v>
      </c>
      <c r="AX17" s="155">
        <v>134.65056067557106</v>
      </c>
      <c r="AY17" s="155"/>
      <c r="AZ17" s="155">
        <v>248.65392831991198</v>
      </c>
      <c r="BA17" s="155">
        <v>255.16705667480886</v>
      </c>
      <c r="BB17" s="155">
        <v>276.43999505393953</v>
      </c>
      <c r="BC17" s="155"/>
      <c r="BD17" s="155">
        <v>197.85992216128582</v>
      </c>
      <c r="BE17" s="155">
        <v>184.58003469744881</v>
      </c>
      <c r="BF17" s="155">
        <v>120.59120244804984</v>
      </c>
      <c r="BG17" s="155"/>
      <c r="BH17" s="155">
        <v>118.97849596137833</v>
      </c>
      <c r="BI17" s="155"/>
      <c r="BJ17" s="155"/>
      <c r="BK17" s="155">
        <v>141.83694515625163</v>
      </c>
      <c r="BL17" s="155">
        <v>30.62908928974856</v>
      </c>
      <c r="BM17" s="155">
        <v>64.008469600647885</v>
      </c>
      <c r="BN17" s="155">
        <v>38.485938110044707</v>
      </c>
      <c r="BO17" s="155">
        <v>159.41304788234763</v>
      </c>
      <c r="BP17" s="155">
        <v>230.14165635534047</v>
      </c>
      <c r="BQ17" s="154"/>
      <c r="BR17" s="154"/>
      <c r="BS17" s="157"/>
      <c r="BT17" s="158">
        <v>27.836000442504901</v>
      </c>
      <c r="BU17" s="159">
        <v>0.74330229454041774</v>
      </c>
      <c r="BV17" s="157"/>
      <c r="BW17" s="157" t="s">
        <v>1190</v>
      </c>
    </row>
    <row r="18" spans="1:75">
      <c r="A18" s="435" t="s">
        <v>313</v>
      </c>
      <c r="B18" s="435" t="s">
        <v>443</v>
      </c>
      <c r="C18" s="1453">
        <f>AVERAGE(BB56:BB59)</f>
        <v>283.4838694153791</v>
      </c>
      <c r="D18" s="434">
        <f>STDEV(BB56:BB59)</f>
        <v>13.664061583438603</v>
      </c>
      <c r="E18" s="1453">
        <v>27.328123166877205</v>
      </c>
      <c r="F18" s="1453">
        <f>AVERAGE(BB61:BB65)</f>
        <v>173.81468630021894</v>
      </c>
      <c r="G18" s="434">
        <f>STDEV(BB61:BB65)</f>
        <v>78.83842120362479</v>
      </c>
      <c r="H18" s="1453">
        <v>157.67684240724958</v>
      </c>
      <c r="I18" s="1453">
        <f>AVERAGE(BB67:BB72)</f>
        <v>124.10802353425369</v>
      </c>
      <c r="J18" s="434">
        <f>STDEV(BB67:BB72)</f>
        <v>29.913230005904964</v>
      </c>
      <c r="K18" s="1453">
        <v>59.826460011809928</v>
      </c>
      <c r="L18" s="930">
        <v>2.2841703649976979</v>
      </c>
      <c r="M18" s="570">
        <v>0.56144471553349296</v>
      </c>
      <c r="N18" s="879">
        <v>1.1228894310669859</v>
      </c>
      <c r="O18" s="433">
        <v>0.67</v>
      </c>
      <c r="P18" s="433">
        <v>-1.33</v>
      </c>
      <c r="Q18" s="778">
        <v>0.44574751499999998</v>
      </c>
      <c r="R18" s="433">
        <f t="shared" si="2"/>
        <v>0.19576812542392125</v>
      </c>
      <c r="S18" s="570">
        <v>4.6587583691863363</v>
      </c>
      <c r="T18" s="570">
        <v>7.8559613960240506</v>
      </c>
      <c r="U18" s="570">
        <v>1.2034056603971148</v>
      </c>
      <c r="V18" s="570">
        <v>1.9937973664405995</v>
      </c>
      <c r="W18" s="888">
        <v>5.8621640295834512</v>
      </c>
      <c r="X18" s="721">
        <f t="shared" si="0"/>
        <v>0.38964627285599934</v>
      </c>
      <c r="Y18" s="721">
        <f t="shared" si="1"/>
        <v>9.5774310084152936E-2</v>
      </c>
      <c r="Z18" s="721"/>
      <c r="AA18" s="721"/>
      <c r="AB18" s="885">
        <v>1.6309546416908387</v>
      </c>
      <c r="AC18" s="570">
        <v>0.74392950115126588</v>
      </c>
      <c r="AD18" s="910">
        <v>1.4878590023025318</v>
      </c>
      <c r="AE18" s="570"/>
      <c r="AF18" s="570"/>
      <c r="AG18" s="912">
        <v>1.4005112751815458</v>
      </c>
      <c r="AH18" s="909">
        <v>0.71935842425207008</v>
      </c>
      <c r="AI18" s="904">
        <v>1.4387168485041402</v>
      </c>
      <c r="AJ18" s="435" t="s">
        <v>443</v>
      </c>
      <c r="AL18" s="292" t="s">
        <v>1225</v>
      </c>
      <c r="AM18" s="153"/>
      <c r="AN18" s="153"/>
      <c r="AO18" s="153"/>
      <c r="AP18" s="155">
        <v>787430.67212212214</v>
      </c>
      <c r="AQ18" s="155">
        <v>692.00119458645747</v>
      </c>
      <c r="AR18" s="156">
        <v>231200</v>
      </c>
      <c r="AS18" s="155">
        <v>241217.60923606745</v>
      </c>
      <c r="AT18" s="155">
        <v>151.42961050196308</v>
      </c>
      <c r="AU18" s="155"/>
      <c r="AV18" s="155"/>
      <c r="AW18" s="155">
        <v>143.89658152635158</v>
      </c>
      <c r="AX18" s="155">
        <v>151.75348445178932</v>
      </c>
      <c r="AY18" s="155"/>
      <c r="AZ18" s="155">
        <v>221.94126407831826</v>
      </c>
      <c r="BA18" s="155">
        <v>251.68876642493191</v>
      </c>
      <c r="BB18" s="155">
        <v>286.90408970253753</v>
      </c>
      <c r="BC18" s="155"/>
      <c r="BD18" s="155">
        <v>146.45124147672553</v>
      </c>
      <c r="BE18" s="155">
        <v>167.00567092867618</v>
      </c>
      <c r="BF18" s="155">
        <v>130.68816943438333</v>
      </c>
      <c r="BG18" s="155"/>
      <c r="BH18" s="155">
        <v>138.20085779541702</v>
      </c>
      <c r="BI18" s="155"/>
      <c r="BJ18" s="155"/>
      <c r="BK18" s="155">
        <v>135.49527131808543</v>
      </c>
      <c r="BL18" s="271">
        <v>7.6987849306382286</v>
      </c>
      <c r="BM18" s="271">
        <v>8.4243346066705556</v>
      </c>
      <c r="BN18" s="271">
        <v>9.6358090276935595</v>
      </c>
      <c r="BO18" s="155">
        <v>84.166026054302009</v>
      </c>
      <c r="BP18" s="155">
        <v>241.41585689563254</v>
      </c>
      <c r="BQ18" s="154"/>
      <c r="BR18" s="153"/>
      <c r="BS18" s="157"/>
      <c r="BT18" s="158">
        <v>37.341001510620096</v>
      </c>
      <c r="BU18" s="159">
        <v>6.7760469250084565</v>
      </c>
      <c r="BV18" s="157"/>
      <c r="BW18" s="160" t="s">
        <v>1226</v>
      </c>
    </row>
    <row r="19" spans="1:75">
      <c r="A19" s="435" t="s">
        <v>313</v>
      </c>
      <c r="B19" s="435" t="s">
        <v>831</v>
      </c>
      <c r="C19" s="434">
        <f>AVERAGE(BC56:BC59)</f>
        <v>280.91586598450084</v>
      </c>
      <c r="D19" s="434">
        <f>STDEV(BC56:BC59)</f>
        <v>12.43044819196402</v>
      </c>
      <c r="E19" s="434">
        <v>24.86089638392804</v>
      </c>
      <c r="F19" s="434">
        <f>AVERAGE(BC61:BC65)</f>
        <v>174.0019129980611</v>
      </c>
      <c r="G19" s="434">
        <f>STDEV(BC61:BC65)</f>
        <v>79.798961314629082</v>
      </c>
      <c r="H19" s="434">
        <v>159.59792262925816</v>
      </c>
      <c r="I19" s="434">
        <f>AVERAGE(BC67:BC72)</f>
        <v>124.39148243733594</v>
      </c>
      <c r="J19" s="434">
        <f>STDEV(BC67:BC72)</f>
        <v>29.868895857858867</v>
      </c>
      <c r="K19" s="434">
        <v>59.737791715717734</v>
      </c>
      <c r="L19" s="930">
        <v>2.2583207505868934</v>
      </c>
      <c r="M19" s="570">
        <v>0.55139898004769661</v>
      </c>
      <c r="N19" s="879">
        <v>1.1027979600953932</v>
      </c>
      <c r="O19" s="433">
        <v>0.67</v>
      </c>
      <c r="P19" s="433">
        <v>-1.33</v>
      </c>
      <c r="Q19" s="778">
        <v>0.44574751499999998</v>
      </c>
      <c r="R19" s="433">
        <f t="shared" si="2"/>
        <v>0.19576812542392125</v>
      </c>
      <c r="S19" s="570">
        <v>4.6587583691863363</v>
      </c>
      <c r="T19" s="570">
        <v>7.8559613960240506</v>
      </c>
      <c r="U19" s="570">
        <v>1.2034056603971148</v>
      </c>
      <c r="V19" s="570">
        <v>1.9937973664405995</v>
      </c>
      <c r="W19" s="888">
        <v>5.8621640295834512</v>
      </c>
      <c r="X19" s="721">
        <f t="shared" si="0"/>
        <v>0.38523670425976858</v>
      </c>
      <c r="Y19" s="721">
        <f t="shared" si="1"/>
        <v>9.4060653585443507E-2</v>
      </c>
      <c r="Z19" s="721"/>
      <c r="AA19" s="721"/>
      <c r="AB19" s="863">
        <v>1.6144412503535583</v>
      </c>
      <c r="AC19" s="570">
        <v>0.74383683286087388</v>
      </c>
      <c r="AD19" s="910">
        <v>1.4876736657217478</v>
      </c>
      <c r="AE19" s="570"/>
      <c r="AF19" s="570"/>
      <c r="AG19" s="912">
        <v>1.3988249805264372</v>
      </c>
      <c r="AH19" s="909">
        <v>0.72412739426423245</v>
      </c>
      <c r="AI19" s="904">
        <v>1.4482547885284649</v>
      </c>
      <c r="AJ19" s="435" t="s">
        <v>831</v>
      </c>
      <c r="AL19" s="292" t="s">
        <v>1227</v>
      </c>
      <c r="AM19" s="831"/>
      <c r="AN19" s="831"/>
      <c r="AO19" s="831"/>
      <c r="AP19" s="833">
        <v>774121.00030924904</v>
      </c>
      <c r="AQ19" s="833">
        <v>677.79495097197707</v>
      </c>
      <c r="AR19" s="834">
        <v>231200</v>
      </c>
      <c r="AS19" s="833">
        <v>265422.78705080645</v>
      </c>
      <c r="AT19" s="833">
        <v>152.82144681354231</v>
      </c>
      <c r="AU19" s="833"/>
      <c r="AV19" s="833"/>
      <c r="AW19" s="833">
        <v>133.31783415116666</v>
      </c>
      <c r="AX19" s="833">
        <v>134.38388384534468</v>
      </c>
      <c r="AY19" s="833"/>
      <c r="AZ19" s="833">
        <v>436.7656968085127</v>
      </c>
      <c r="BA19" s="833">
        <v>276.04835756593178</v>
      </c>
      <c r="BB19" s="833">
        <v>326.46637180288315</v>
      </c>
      <c r="BC19" s="833"/>
      <c r="BD19" s="833">
        <v>1435.1973870348963</v>
      </c>
      <c r="BE19" s="833">
        <v>163.75790956270123</v>
      </c>
      <c r="BF19" s="833">
        <v>139.36827695474489</v>
      </c>
      <c r="BG19" s="833"/>
      <c r="BH19" s="833">
        <v>155.23653238787102</v>
      </c>
      <c r="BI19" s="833"/>
      <c r="BJ19" s="833"/>
      <c r="BK19" s="833">
        <v>140.33951905419019</v>
      </c>
      <c r="BL19" s="833">
        <v>990.8545740968159</v>
      </c>
      <c r="BM19" s="833">
        <v>680.04636911951627</v>
      </c>
      <c r="BN19" s="833">
        <v>4365.3631856175625</v>
      </c>
      <c r="BO19" s="833">
        <v>386.54653650813771</v>
      </c>
      <c r="BP19" s="833">
        <v>299.81404586094499</v>
      </c>
      <c r="BQ19" s="832"/>
      <c r="BR19" s="832"/>
      <c r="BS19" s="835"/>
      <c r="BT19" s="836">
        <v>21.047000885009801</v>
      </c>
      <c r="BU19" s="159">
        <v>6.380912477426226</v>
      </c>
      <c r="BV19" s="157"/>
      <c r="BW19" s="160" t="s">
        <v>1228</v>
      </c>
    </row>
    <row r="20" spans="1:75">
      <c r="A20" s="672" t="s">
        <v>270</v>
      </c>
      <c r="B20" s="672" t="s">
        <v>440</v>
      </c>
      <c r="C20" s="1457">
        <f>AVERAGE(BD15:BD18)</f>
        <v>172.71740988261925</v>
      </c>
      <c r="D20" s="673">
        <f>STDEV(BD15:BD18)</f>
        <v>24.98367305580987</v>
      </c>
      <c r="E20" s="1457">
        <v>49.96734611161974</v>
      </c>
      <c r="F20" s="841">
        <f>AVERAGE(BD20:BD24)</f>
        <v>8.2556840142292781E-2</v>
      </c>
      <c r="G20" s="673">
        <f>STDEV(BD20:BD24)</f>
        <v>2.9353266924626309E-2</v>
      </c>
      <c r="H20" s="841">
        <v>5.8706533849252618E-2</v>
      </c>
      <c r="I20" s="673">
        <f>AVERAGE(BD26:BD31)</f>
        <v>0.87992592211685638</v>
      </c>
      <c r="J20" s="673">
        <f>STDEV(BD26:BD31)</f>
        <v>0.20730727918807607</v>
      </c>
      <c r="K20" s="673">
        <v>0.41461455837615213</v>
      </c>
      <c r="L20" s="1324">
        <v>196.28630722357778</v>
      </c>
      <c r="M20" s="749">
        <v>54.265052596324438</v>
      </c>
      <c r="N20" s="861">
        <v>108.53010519264888</v>
      </c>
      <c r="O20" s="732">
        <v>1.18</v>
      </c>
      <c r="P20" s="732">
        <v>-3.89</v>
      </c>
      <c r="Q20" s="779">
        <v>0.44574751499999998</v>
      </c>
      <c r="R20" s="732">
        <f t="shared" si="2"/>
        <v>0.19576812542392125</v>
      </c>
      <c r="S20" s="749">
        <v>342.88240185773503</v>
      </c>
      <c r="T20" s="749">
        <v>1580.7759416247713</v>
      </c>
      <c r="U20" s="749">
        <v>328.55525774901906</v>
      </c>
      <c r="V20" s="749">
        <v>909.33828201801725</v>
      </c>
      <c r="W20" s="889">
        <v>671.4376596067541</v>
      </c>
      <c r="X20" s="732">
        <f t="shared" si="0"/>
        <v>0.29233735167392644</v>
      </c>
      <c r="Y20" s="732">
        <f t="shared" si="1"/>
        <v>8.0819197165834078E-2</v>
      </c>
      <c r="Z20" s="732"/>
      <c r="AA20" s="732"/>
      <c r="AB20" s="877">
        <v>2092.1029630606999</v>
      </c>
      <c r="AC20" s="732">
        <v>803.05465090678877</v>
      </c>
      <c r="AD20" s="927">
        <v>1606.1093018135775</v>
      </c>
      <c r="AE20" s="749"/>
      <c r="AF20" s="749"/>
      <c r="AG20" s="1526">
        <v>9.3822488992805264E-2</v>
      </c>
      <c r="AH20" s="1527">
        <v>4.0017572011694716E-2</v>
      </c>
      <c r="AI20" s="1528">
        <v>8.0035144023389432E-2</v>
      </c>
      <c r="AJ20" s="672" t="s">
        <v>440</v>
      </c>
      <c r="AL20" s="206" t="s">
        <v>1370</v>
      </c>
      <c r="AM20" s="131"/>
      <c r="AN20" s="131">
        <v>15.293783708375765</v>
      </c>
      <c r="AO20" s="131"/>
      <c r="AP20" s="131">
        <v>693600.30068769469</v>
      </c>
      <c r="AQ20" s="131">
        <v>55.164028706048512</v>
      </c>
      <c r="AR20" s="132">
        <v>9700</v>
      </c>
      <c r="AS20" s="131">
        <v>9128.3796594582345</v>
      </c>
      <c r="AT20" s="131">
        <v>146.64790859480198</v>
      </c>
      <c r="AU20" s="131"/>
      <c r="AV20" s="131"/>
      <c r="AW20" s="134" t="s">
        <v>124</v>
      </c>
      <c r="AX20" s="133">
        <v>9.2542565069330965E-2</v>
      </c>
      <c r="AY20" s="135"/>
      <c r="AZ20" s="134" t="s">
        <v>1371</v>
      </c>
      <c r="BA20" s="134" t="s">
        <v>211</v>
      </c>
      <c r="BB20" s="131">
        <v>218.03178115044011</v>
      </c>
      <c r="BC20" s="131"/>
      <c r="BD20" s="133">
        <v>7.7131041080732043E-2</v>
      </c>
      <c r="BE20" s="133">
        <v>3.7832483502001621E-2</v>
      </c>
      <c r="BF20" s="134" t="s">
        <v>167</v>
      </c>
      <c r="BG20" s="131"/>
      <c r="BH20" s="133">
        <v>0.10305362341693022</v>
      </c>
      <c r="BI20" s="133"/>
      <c r="BJ20" s="133"/>
      <c r="BK20" s="133">
        <v>0.465976442997874</v>
      </c>
      <c r="BL20" s="134" t="s">
        <v>239</v>
      </c>
      <c r="BM20" s="131"/>
      <c r="BN20" s="131"/>
      <c r="BO20" s="131"/>
      <c r="BP20" s="133">
        <v>0.49775651522550141</v>
      </c>
      <c r="BQ20" s="133"/>
      <c r="BR20" s="133"/>
      <c r="BS20" s="136"/>
      <c r="BT20" s="137">
        <v>29.872999191284197</v>
      </c>
      <c r="BU20" s="138">
        <v>3.9508876761527287</v>
      </c>
      <c r="BV20" s="136"/>
      <c r="BW20" s="136" t="s">
        <v>1186</v>
      </c>
    </row>
    <row r="21" spans="1:75">
      <c r="A21" s="672" t="s">
        <v>270</v>
      </c>
      <c r="B21" s="672" t="s">
        <v>16</v>
      </c>
      <c r="C21" s="1457">
        <f>AVERAGE(BE15:BE18)</f>
        <v>189.24255224637977</v>
      </c>
      <c r="D21" s="673">
        <f>STDEV(BE15:BE18)</f>
        <v>19.625961923790829</v>
      </c>
      <c r="E21" s="1457">
        <v>39.251923847581658</v>
      </c>
      <c r="F21" s="841">
        <f>AVERAGE(BE20:BE24)</f>
        <v>3.2699292586718734E-2</v>
      </c>
      <c r="G21" s="673">
        <f>STDEV(BE20:BE24)</f>
        <v>1.052093013727161E-2</v>
      </c>
      <c r="H21" s="841">
        <v>2.1041860274543221E-2</v>
      </c>
      <c r="I21" s="405">
        <f>AVERAGE(BE26:BE31)</f>
        <v>1.7186824111424654</v>
      </c>
      <c r="J21" s="405">
        <f>STDEV(BE26:BE31)</f>
        <v>0.92251019733270312</v>
      </c>
      <c r="K21" s="405">
        <v>1.8450203946654062</v>
      </c>
      <c r="L21" s="1323">
        <v>110.10908764731231</v>
      </c>
      <c r="M21" s="571">
        <v>60.194588560758739</v>
      </c>
      <c r="N21" s="862">
        <v>120.38917712151748</v>
      </c>
      <c r="O21" s="732">
        <v>0.97</v>
      </c>
      <c r="P21" s="732">
        <v>-2.66</v>
      </c>
      <c r="Q21" s="779">
        <v>0.44574751499999998</v>
      </c>
      <c r="R21" s="732">
        <f t="shared" si="2"/>
        <v>0.19576812542392125</v>
      </c>
      <c r="S21" s="749">
        <v>46.898883172621559</v>
      </c>
      <c r="T21" s="749">
        <v>133.35853324158057</v>
      </c>
      <c r="U21" s="749">
        <v>27.35822998498552</v>
      </c>
      <c r="V21" s="749">
        <v>59.101420083973494</v>
      </c>
      <c r="W21" s="889">
        <v>74.25711315760708</v>
      </c>
      <c r="X21" s="732">
        <f t="shared" si="0"/>
        <v>1.4828086221667569</v>
      </c>
      <c r="Y21" s="732">
        <f t="shared" si="1"/>
        <v>0.81062387158787985</v>
      </c>
      <c r="Z21" s="732"/>
      <c r="AA21" s="732"/>
      <c r="AB21" s="877">
        <v>5787.3592141024856</v>
      </c>
      <c r="AC21" s="732">
        <v>1956.4106247411212</v>
      </c>
      <c r="AD21" s="927">
        <v>3912.8212494822424</v>
      </c>
      <c r="AE21" s="749"/>
      <c r="AF21" s="749"/>
      <c r="AG21" s="912">
        <v>1.902579113786498E-2</v>
      </c>
      <c r="AH21" s="909">
        <v>1.1906359731560894E-2</v>
      </c>
      <c r="AI21" s="904">
        <v>2.3812719463121787E-2</v>
      </c>
      <c r="AJ21" s="672" t="s">
        <v>16</v>
      </c>
      <c r="AL21" s="206" t="s">
        <v>1372</v>
      </c>
      <c r="AM21" s="131"/>
      <c r="AN21" s="131">
        <v>20.331406922770736</v>
      </c>
      <c r="AO21" s="131"/>
      <c r="AP21" s="131">
        <v>674993.42868459853</v>
      </c>
      <c r="AQ21" s="131">
        <v>51.024178761821247</v>
      </c>
      <c r="AR21" s="132">
        <v>9700</v>
      </c>
      <c r="AS21" s="131">
        <v>8904.4222882930517</v>
      </c>
      <c r="AT21" s="131">
        <v>151.45500290924059</v>
      </c>
      <c r="AU21" s="131"/>
      <c r="AV21" s="131"/>
      <c r="AW21" s="133">
        <v>0.28915592717598354</v>
      </c>
      <c r="AX21" s="133">
        <v>0.31923904709755252</v>
      </c>
      <c r="AY21" s="135"/>
      <c r="AZ21" s="134" t="s">
        <v>1373</v>
      </c>
      <c r="BA21" s="133">
        <v>0.32218897317078526</v>
      </c>
      <c r="BB21" s="131">
        <v>206.91375431630803</v>
      </c>
      <c r="BC21" s="131"/>
      <c r="BD21" s="133">
        <v>6.5359081032816888E-2</v>
      </c>
      <c r="BE21" s="133">
        <v>1.8930120829484798E-2</v>
      </c>
      <c r="BF21" s="133">
        <v>0.11411746673339521</v>
      </c>
      <c r="BG21" s="131"/>
      <c r="BH21" s="134" t="s">
        <v>124</v>
      </c>
      <c r="BI21" s="134"/>
      <c r="BJ21" s="134"/>
      <c r="BK21" s="133">
        <v>0.51240288318213134</v>
      </c>
      <c r="BL21" s="1397">
        <v>2.2408931302067103E-3</v>
      </c>
      <c r="BM21" s="1397">
        <v>2.9956697975483176E-3</v>
      </c>
      <c r="BN21" s="131"/>
      <c r="BO21" s="131"/>
      <c r="BP21" s="133">
        <v>0.36546783569479624</v>
      </c>
      <c r="BQ21" s="133"/>
      <c r="BR21" s="133"/>
      <c r="BS21" s="136"/>
      <c r="BT21" s="137">
        <v>40.734998703002894</v>
      </c>
      <c r="BU21" s="138">
        <v>2.3742898378686892</v>
      </c>
      <c r="BV21" s="136"/>
      <c r="BW21" s="136" t="s">
        <v>1188</v>
      </c>
    </row>
    <row r="22" spans="1:75">
      <c r="A22" s="672" t="s">
        <v>270</v>
      </c>
      <c r="B22" s="672" t="s">
        <v>435</v>
      </c>
      <c r="C22" s="1457">
        <f>AVERAGE(BF15:BF18)</f>
        <v>129.49211494624251</v>
      </c>
      <c r="D22" s="673">
        <f>STDEV(BF15:BF18)</f>
        <v>6.0757856498885188</v>
      </c>
      <c r="E22" s="1457">
        <v>12.151571299777038</v>
      </c>
      <c r="F22" s="405">
        <f>AVERAGE(BF20:BF24)</f>
        <v>1.5217621453515502</v>
      </c>
      <c r="G22" s="405">
        <f>STDEV(BF20:BF24)</f>
        <v>1.9907101955041113</v>
      </c>
      <c r="H22" s="405">
        <v>3.9814203910082226</v>
      </c>
      <c r="I22" s="1457">
        <f>AVERAGE(BF26:BF31)</f>
        <v>35.395426898495906</v>
      </c>
      <c r="J22" s="673">
        <f>STDEV(BF26:BF31)</f>
        <v>6.3945744712289478</v>
      </c>
      <c r="K22" s="1457">
        <v>12.789148942457896</v>
      </c>
      <c r="L22" s="1324">
        <v>3.6584419596799709</v>
      </c>
      <c r="M22" s="749">
        <v>0.68286470426937962</v>
      </c>
      <c r="N22" s="861">
        <v>1.3657294085387592</v>
      </c>
      <c r="O22" s="732">
        <v>0.54</v>
      </c>
      <c r="P22" s="732">
        <v>-0.70699999999999996</v>
      </c>
      <c r="Q22" s="779">
        <v>0.44574751499999998</v>
      </c>
      <c r="R22" s="732">
        <f t="shared" si="2"/>
        <v>0.19576812542392125</v>
      </c>
      <c r="S22" s="749">
        <v>1.5138648144143292</v>
      </c>
      <c r="T22" s="749">
        <v>1.998563061663118</v>
      </c>
      <c r="U22" s="749">
        <v>0.19667102634798095</v>
      </c>
      <c r="V22" s="749">
        <v>0.2880272209008079</v>
      </c>
      <c r="W22" s="889">
        <v>1.7105358407623101</v>
      </c>
      <c r="X22" s="732">
        <f t="shared" si="0"/>
        <v>2.1387695437293877</v>
      </c>
      <c r="Y22" s="732">
        <f t="shared" si="1"/>
        <v>0.39921098874201721</v>
      </c>
      <c r="Z22" s="732"/>
      <c r="AA22" s="732"/>
      <c r="AB22" s="857">
        <v>85.09353143117373</v>
      </c>
      <c r="AC22" s="406">
        <v>111.38763498195623</v>
      </c>
      <c r="AD22" s="909">
        <v>222.77526996391245</v>
      </c>
      <c r="AE22" s="749"/>
      <c r="AF22" s="749"/>
      <c r="AG22" s="912">
        <v>4.299318524157187E-2</v>
      </c>
      <c r="AH22" s="909">
        <v>5.6775820120462783E-2</v>
      </c>
      <c r="AI22" s="904">
        <v>0.11355164024092557</v>
      </c>
      <c r="AJ22" s="672" t="s">
        <v>435</v>
      </c>
      <c r="AL22" s="206" t="s">
        <v>1374</v>
      </c>
      <c r="AM22" s="131"/>
      <c r="AN22" s="131">
        <v>16.62317656203054</v>
      </c>
      <c r="AO22" s="131"/>
      <c r="AP22" s="131">
        <v>661107.12847315148</v>
      </c>
      <c r="AQ22" s="131">
        <v>47.708065914450835</v>
      </c>
      <c r="AR22" s="132">
        <v>9700</v>
      </c>
      <c r="AS22" s="131">
        <v>9717.5760368926785</v>
      </c>
      <c r="AT22" s="131">
        <v>149.45478197797067</v>
      </c>
      <c r="AU22" s="131"/>
      <c r="AV22" s="131"/>
      <c r="AW22" s="134" t="s">
        <v>49</v>
      </c>
      <c r="AX22" s="134" t="s">
        <v>180</v>
      </c>
      <c r="AY22" s="135"/>
      <c r="AZ22" s="134" t="s">
        <v>766</v>
      </c>
      <c r="BA22" s="662" t="s">
        <v>189</v>
      </c>
      <c r="BB22" s="131">
        <v>212.35234727285436</v>
      </c>
      <c r="BC22" s="131"/>
      <c r="BD22" s="134" t="s">
        <v>185</v>
      </c>
      <c r="BE22" s="133">
        <v>4.0485052027136849E-2</v>
      </c>
      <c r="BF22" s="134" t="s">
        <v>120</v>
      </c>
      <c r="BG22" s="131"/>
      <c r="BH22" s="133">
        <v>0.10491810524385305</v>
      </c>
      <c r="BI22" s="134"/>
      <c r="BJ22" s="134"/>
      <c r="BK22" s="133">
        <v>0.56020804719605721</v>
      </c>
      <c r="BL22" s="131"/>
      <c r="BM22" s="131"/>
      <c r="BN22" s="131"/>
      <c r="BO22" s="131"/>
      <c r="BP22" s="133">
        <v>0.50414791552823257</v>
      </c>
      <c r="BQ22" s="133"/>
      <c r="BR22" s="133"/>
      <c r="BS22" s="136"/>
      <c r="BT22" s="137">
        <v>41.414001464843793</v>
      </c>
      <c r="BU22" s="138">
        <v>2.1029305377611527</v>
      </c>
      <c r="BV22" s="136"/>
      <c r="BW22" s="136" t="s">
        <v>1194</v>
      </c>
    </row>
    <row r="23" spans="1:75">
      <c r="A23" s="435" t="s">
        <v>313</v>
      </c>
      <c r="B23" s="435" t="s">
        <v>18</v>
      </c>
      <c r="C23" s="434">
        <f>AVERAGE(BG56:BG59)</f>
        <v>0.48078610272645067</v>
      </c>
      <c r="D23" s="787">
        <f>STDEV(BG56:BG59)</f>
        <v>0.18748056994747844</v>
      </c>
      <c r="E23" s="434">
        <v>0.37496113989495689</v>
      </c>
      <c r="F23" s="405">
        <f>AVERAGE(BG61:BG65)</f>
        <v>3.846467785732127</v>
      </c>
      <c r="G23" s="405">
        <f>STDEV(BG61:BG65)</f>
        <v>3.1568241874358125</v>
      </c>
      <c r="H23" s="405">
        <v>6.313648374871625</v>
      </c>
      <c r="I23" s="1457">
        <f>AVERAGE(BG67:BG72)</f>
        <v>119.80301056354904</v>
      </c>
      <c r="J23" s="673">
        <f>STDEV(BG67:BG72)</f>
        <v>59.18886638397305</v>
      </c>
      <c r="K23" s="1457">
        <v>118.3777327679461</v>
      </c>
      <c r="L23" s="1468">
        <v>4.0131387388751766E-3</v>
      </c>
      <c r="M23" s="571">
        <v>2.5258708199143256E-3</v>
      </c>
      <c r="N23" s="1469">
        <v>5.0517416398286512E-3</v>
      </c>
      <c r="O23" s="433">
        <v>0.15</v>
      </c>
      <c r="P23" s="433">
        <v>2.88</v>
      </c>
      <c r="Q23" s="778">
        <v>0.44574751499999998</v>
      </c>
      <c r="R23" s="433">
        <f t="shared" si="2"/>
        <v>0.19576812542392125</v>
      </c>
      <c r="S23" s="1373">
        <f>O23*(((1-(2*C47))/(1-C47))^P23)</f>
        <v>7.2609678730168475E-4</v>
      </c>
      <c r="T23" s="800">
        <f>O23*(((1-(2*C46))/(1-C46))^P23)</f>
        <v>2.2510750685747725E-3</v>
      </c>
      <c r="U23" s="800">
        <v>6.4260289978481527E-4</v>
      </c>
      <c r="V23" s="800">
        <v>8.8237538148827253E-4</v>
      </c>
      <c r="W23" s="883">
        <v>1.3686996870865E-3</v>
      </c>
      <c r="X23" s="721">
        <f t="shared" si="0"/>
        <v>2.932081286156933</v>
      </c>
      <c r="Y23" s="721">
        <f t="shared" si="1"/>
        <v>1.8454529096087198</v>
      </c>
      <c r="Z23" s="721"/>
      <c r="AA23" s="721"/>
      <c r="AB23" s="868">
        <v>0.12499418414729789</v>
      </c>
      <c r="AC23" s="571">
        <v>0.11357413956321291</v>
      </c>
      <c r="AD23" s="909">
        <v>0.22714827912642582</v>
      </c>
      <c r="AE23" s="570"/>
      <c r="AF23" s="570"/>
      <c r="AG23" s="912">
        <v>3.2106603729225844E-2</v>
      </c>
      <c r="AH23" s="909">
        <v>3.0756172972451989E-2</v>
      </c>
      <c r="AI23" s="904">
        <v>6.1512345944903978E-2</v>
      </c>
      <c r="AJ23" s="435" t="s">
        <v>18</v>
      </c>
      <c r="AL23" s="290" t="s">
        <v>1223</v>
      </c>
      <c r="AM23" s="131"/>
      <c r="AN23" s="131"/>
      <c r="AO23" s="131"/>
      <c r="AP23" s="131">
        <v>714853.65399949148</v>
      </c>
      <c r="AQ23" s="131">
        <v>50.753889451672741</v>
      </c>
      <c r="AR23" s="132">
        <v>9700</v>
      </c>
      <c r="AS23" s="131">
        <v>9088.5650571967744</v>
      </c>
      <c r="AT23" s="131">
        <v>156.02312127296989</v>
      </c>
      <c r="AU23" s="131"/>
      <c r="AV23" s="131"/>
      <c r="AW23" s="134" t="s">
        <v>49</v>
      </c>
      <c r="AX23" s="134" t="s">
        <v>54</v>
      </c>
      <c r="AY23" s="135"/>
      <c r="AZ23" s="134" t="s">
        <v>1390</v>
      </c>
      <c r="BA23" s="133">
        <v>0.18799402891155528</v>
      </c>
      <c r="BB23" s="131">
        <v>221.80986164483775</v>
      </c>
      <c r="BC23" s="131"/>
      <c r="BD23" s="133">
        <v>0.12552085399442711</v>
      </c>
      <c r="BE23" s="133">
        <v>2.4018343335986486E-2</v>
      </c>
      <c r="BF23" s="134" t="s">
        <v>104</v>
      </c>
      <c r="BG23" s="131"/>
      <c r="BH23" s="133">
        <v>0.13378237946086868</v>
      </c>
      <c r="BI23" s="134"/>
      <c r="BJ23" s="133"/>
      <c r="BK23" s="133">
        <v>0.57719596250073579</v>
      </c>
      <c r="BL23" s="134" t="s">
        <v>123</v>
      </c>
      <c r="BM23" s="131"/>
      <c r="BN23" s="131"/>
      <c r="BO23" s="1397">
        <v>3.8094558198515107E-3</v>
      </c>
      <c r="BP23" s="133">
        <v>0.58221559562323366</v>
      </c>
      <c r="BQ23" s="133"/>
      <c r="BR23" s="133"/>
      <c r="BS23" s="136"/>
      <c r="BT23" s="137">
        <v>45.488002777099595</v>
      </c>
      <c r="BU23" s="138">
        <v>2.2732105395335735</v>
      </c>
      <c r="BV23" s="136"/>
      <c r="BW23" s="139" t="s">
        <v>1224</v>
      </c>
    </row>
    <row r="24" spans="1:75">
      <c r="A24" s="672" t="s">
        <v>270</v>
      </c>
      <c r="B24" s="672" t="s">
        <v>830</v>
      </c>
      <c r="C24" s="673">
        <f>AVERAGE(BH15:BH18)</f>
        <v>124.62393332425171</v>
      </c>
      <c r="D24" s="673">
        <f>STDEV(BH15:BH18)</f>
        <v>9.0906495638787828</v>
      </c>
      <c r="E24" s="673">
        <v>18.181299127757566</v>
      </c>
      <c r="F24" s="405">
        <f>AVERAGE(BH20:BH24)</f>
        <v>0.9034595206068462</v>
      </c>
      <c r="G24" s="405">
        <f>STDEV(BH20:BH24)</f>
        <v>1.5791456230685126</v>
      </c>
      <c r="H24" s="405">
        <v>3.1582912461370252</v>
      </c>
      <c r="I24" s="673">
        <f>AVERAGE(BH26:BH31)</f>
        <v>35.660994141443865</v>
      </c>
      <c r="J24" s="673">
        <f>STDEV(BH26:BH31)</f>
        <v>4.8268656297746473</v>
      </c>
      <c r="K24" s="673">
        <v>9.6537312595492946</v>
      </c>
      <c r="L24" s="1324">
        <v>3.4946847760314808</v>
      </c>
      <c r="M24" s="749">
        <v>0.53733757753260214</v>
      </c>
      <c r="N24" s="861">
        <v>1.0746751550652043</v>
      </c>
      <c r="O24" s="732">
        <v>0.54</v>
      </c>
      <c r="P24" s="732">
        <v>-0.70699999999999996</v>
      </c>
      <c r="Q24" s="779">
        <v>0.44574751499999998</v>
      </c>
      <c r="R24" s="732">
        <f t="shared" si="2"/>
        <v>0.19576812542392125</v>
      </c>
      <c r="S24" s="749" cm="1">
        <f t="array" ref="S24:S32">O24:O32*(((1-(2*C46))/(1-C46))^P24:P32)</f>
        <v>1.5138648144143292</v>
      </c>
      <c r="T24" s="749" cm="1">
        <f t="array" ref="T24:T32">O24:O32*(((1-(2*C47))/(1-C47))^P24:P32)</f>
        <v>1.998563061663118</v>
      </c>
      <c r="U24" s="749">
        <v>0.19667102634798095</v>
      </c>
      <c r="V24" s="749">
        <v>0.2880272209008079</v>
      </c>
      <c r="W24" s="889">
        <v>1.7105358407623101</v>
      </c>
      <c r="X24" s="732">
        <f t="shared" si="0"/>
        <v>2.0430351079191968</v>
      </c>
      <c r="Y24" s="732">
        <f t="shared" si="1"/>
        <v>0.31413406531904914</v>
      </c>
      <c r="Z24" s="732"/>
      <c r="AA24" s="732"/>
      <c r="AB24" s="857">
        <v>137.94080474191347</v>
      </c>
      <c r="AC24" s="406">
        <v>241.31487992477574</v>
      </c>
      <c r="AD24" s="909">
        <v>482.62975984955148</v>
      </c>
      <c r="AE24" s="749"/>
      <c r="AF24" s="749"/>
      <c r="AG24" s="912">
        <v>2.5334670060610551E-2</v>
      </c>
      <c r="AH24" s="909">
        <v>4.44147299149181E-2</v>
      </c>
      <c r="AI24" s="904">
        <v>8.8829459829836199E-2</v>
      </c>
      <c r="AJ24" s="672" t="s">
        <v>830</v>
      </c>
      <c r="AL24" s="294" t="s">
        <v>1231</v>
      </c>
      <c r="AM24" s="299"/>
      <c r="AN24" s="299"/>
      <c r="AO24" s="295"/>
      <c r="AP24" s="295">
        <v>160008.21484891337</v>
      </c>
      <c r="AQ24" s="295">
        <v>21.359708485536387</v>
      </c>
      <c r="AR24" s="296">
        <v>9700</v>
      </c>
      <c r="AS24" s="295">
        <v>9236.7193586612757</v>
      </c>
      <c r="AT24" s="295">
        <v>88.662349447965966</v>
      </c>
      <c r="AU24" s="295"/>
      <c r="AV24" s="295"/>
      <c r="AW24" s="297"/>
      <c r="AX24" s="297">
        <v>8.3537898791740298E-2</v>
      </c>
      <c r="AY24" s="299"/>
      <c r="AZ24" s="298" t="s">
        <v>278</v>
      </c>
      <c r="BA24" s="299">
        <v>2.2848732919135859</v>
      </c>
      <c r="BB24" s="295">
        <v>34.010327295396749</v>
      </c>
      <c r="BC24" s="295"/>
      <c r="BD24" s="297">
        <v>6.2216384461195054E-2</v>
      </c>
      <c r="BE24" s="297">
        <v>4.2230463238983898E-2</v>
      </c>
      <c r="BF24" s="299">
        <v>2.9294068239697051</v>
      </c>
      <c r="BG24" s="295"/>
      <c r="BH24" s="299">
        <v>3.2720839743057328</v>
      </c>
      <c r="BI24" s="295"/>
      <c r="BJ24" s="299"/>
      <c r="BK24" s="297">
        <v>0.37603081871103555</v>
      </c>
      <c r="BL24" s="298" t="s">
        <v>171</v>
      </c>
      <c r="BM24" s="295"/>
      <c r="BN24" s="298" t="s">
        <v>171</v>
      </c>
      <c r="BO24" s="295"/>
      <c r="BP24" s="299">
        <v>2.353948873152476</v>
      </c>
      <c r="BQ24" s="295"/>
      <c r="BR24" s="295"/>
      <c r="BS24" s="300"/>
      <c r="BT24" s="301">
        <v>42.772001266479492</v>
      </c>
      <c r="BU24" s="302">
        <v>10.822300651620662</v>
      </c>
      <c r="BV24" s="300"/>
      <c r="BW24" s="303" t="s">
        <v>1232</v>
      </c>
    </row>
    <row r="25" spans="1:75">
      <c r="A25" s="435" t="s">
        <v>313</v>
      </c>
      <c r="B25" s="435" t="s">
        <v>428</v>
      </c>
      <c r="C25" s="1453">
        <f>AVERAGE(BI56:BI59)</f>
        <v>395.84592891743392</v>
      </c>
      <c r="D25" s="434">
        <f>STDEV(BI56:BI59)</f>
        <v>30.148171883935547</v>
      </c>
      <c r="E25" s="1453">
        <v>60.296343767871093</v>
      </c>
      <c r="F25" s="405">
        <f>AVERAGE(BI61:BI65)</f>
        <v>8.9731414862744412</v>
      </c>
      <c r="G25" s="405">
        <f>STDEV(BI61:BI65)</f>
        <v>12.356242117420804</v>
      </c>
      <c r="H25" s="405">
        <v>24.712484234841607</v>
      </c>
      <c r="I25" s="1453">
        <f>AVERAGE(BI67:BI72)</f>
        <v>191.99747141228752</v>
      </c>
      <c r="J25" s="434">
        <f>STDEV(BI67:BI72)</f>
        <v>14.995618445319982</v>
      </c>
      <c r="K25" s="1453">
        <v>29.991236890639964</v>
      </c>
      <c r="L25" s="1331">
        <v>2.0617246987977804</v>
      </c>
      <c r="M25" s="573">
        <v>0.22491391287185672</v>
      </c>
      <c r="N25" s="864">
        <v>0.44982782574371344</v>
      </c>
      <c r="O25" s="721">
        <v>0.13</v>
      </c>
      <c r="P25" s="721">
        <v>-0.84</v>
      </c>
      <c r="Q25" s="778">
        <v>0.44574751499999998</v>
      </c>
      <c r="R25" s="721">
        <f t="shared" si="2"/>
        <v>0.19576812542392125</v>
      </c>
      <c r="S25" s="573">
        <v>0.4424418768397354</v>
      </c>
      <c r="T25" s="573">
        <v>0.61543175701584263</v>
      </c>
      <c r="U25" s="573">
        <v>6.909869803447749E-2</v>
      </c>
      <c r="V25" s="573">
        <v>0.10389118214162973</v>
      </c>
      <c r="W25" s="887">
        <v>0.51154057487421289</v>
      </c>
      <c r="X25" s="721">
        <f t="shared" si="0"/>
        <v>4.030422609789567</v>
      </c>
      <c r="Y25" s="721">
        <f t="shared" si="1"/>
        <v>0.43967951697118601</v>
      </c>
      <c r="Z25" s="721"/>
      <c r="AA25" s="721"/>
      <c r="AB25" s="857">
        <v>44.114531072861219</v>
      </c>
      <c r="AC25" s="406">
        <v>60.83966446871829</v>
      </c>
      <c r="AD25" s="909">
        <v>121.67932893743658</v>
      </c>
      <c r="AE25" s="570"/>
      <c r="AF25" s="570"/>
      <c r="AG25" s="912">
        <v>4.6735727404481717E-2</v>
      </c>
      <c r="AH25" s="909">
        <v>6.4459709887474237E-2</v>
      </c>
      <c r="AI25" s="904">
        <v>0.12891941977494847</v>
      </c>
      <c r="AJ25" s="435" t="s">
        <v>428</v>
      </c>
      <c r="AL25" s="663" t="s">
        <v>1375</v>
      </c>
      <c r="AM25" s="664"/>
      <c r="AN25" s="664">
        <v>14.294785076551628</v>
      </c>
      <c r="AO25" s="664"/>
      <c r="AP25" s="664">
        <v>379323.48257616005</v>
      </c>
      <c r="AQ25" s="664">
        <v>40.778726597938068</v>
      </c>
      <c r="AR25" s="665">
        <v>9700</v>
      </c>
      <c r="AS25" s="664">
        <v>10107.239111115297</v>
      </c>
      <c r="AT25" s="664">
        <v>85.887445399440594</v>
      </c>
      <c r="AU25" s="664"/>
      <c r="AV25" s="664"/>
      <c r="AW25" s="666">
        <v>2.3464861587380361</v>
      </c>
      <c r="AX25" s="666">
        <v>2.5702760015884829</v>
      </c>
      <c r="AY25" s="666"/>
      <c r="AZ25" s="666">
        <v>2.9671077459888608</v>
      </c>
      <c r="BA25" s="666">
        <v>3.4732123309794356</v>
      </c>
      <c r="BB25" s="664">
        <v>118.8066791976421</v>
      </c>
      <c r="BC25" s="664"/>
      <c r="BD25" s="666">
        <v>0.62115188688508394</v>
      </c>
      <c r="BE25" s="666">
        <v>1.2202704706783583</v>
      </c>
      <c r="BF25" s="666">
        <v>2.2627830073118513</v>
      </c>
      <c r="BG25" s="664"/>
      <c r="BH25" s="666">
        <v>2.1614638336509122</v>
      </c>
      <c r="BI25" s="666"/>
      <c r="BJ25" s="666"/>
      <c r="BK25" s="666">
        <v>1.9999648136643096</v>
      </c>
      <c r="BL25" s="667">
        <v>1.5698508442821207E-2</v>
      </c>
      <c r="BM25" s="667">
        <v>6.7232082392622253E-2</v>
      </c>
      <c r="BN25" s="667">
        <v>2.1475295281468441E-2</v>
      </c>
      <c r="BO25" s="667">
        <v>0.56146546747635173</v>
      </c>
      <c r="BP25" s="666">
        <v>4.2065473567065066</v>
      </c>
      <c r="BQ25" s="667"/>
      <c r="BR25" s="667"/>
      <c r="BS25" s="668"/>
      <c r="BT25" s="669">
        <v>38.019001007080099</v>
      </c>
      <c r="BU25" s="670">
        <v>3.3536675416002684</v>
      </c>
      <c r="BV25" s="668"/>
      <c r="BW25" s="668" t="s">
        <v>1196</v>
      </c>
    </row>
    <row r="26" spans="1:75">
      <c r="A26" s="435" t="s">
        <v>313</v>
      </c>
      <c r="B26" s="435" t="s">
        <v>20</v>
      </c>
      <c r="C26" s="1453">
        <f>AVERAGE(BJ56:BJ59)</f>
        <v>183.094543619776</v>
      </c>
      <c r="D26" s="434">
        <f>STDEV(BJ56:BJ59)</f>
        <v>5.764733089720675</v>
      </c>
      <c r="E26" s="1453">
        <v>11.52946617944135</v>
      </c>
      <c r="F26" s="1555">
        <f>AVERAGE(BJ61:BJ65)</f>
        <v>2.8251944975982668</v>
      </c>
      <c r="G26" s="405">
        <f>STDEV(BJ61:BJ65)</f>
        <v>4.5794172557138229</v>
      </c>
      <c r="H26" s="1555">
        <v>9.1588345114276457</v>
      </c>
      <c r="I26" s="1453">
        <f>AVERAGE(BJ67:BJ72)</f>
        <v>100.39406035698433</v>
      </c>
      <c r="J26" s="434">
        <f>STDEV(BJ67:BJ72)</f>
        <v>10.485872456555171</v>
      </c>
      <c r="K26" s="1453">
        <v>20.971744913110342</v>
      </c>
      <c r="L26" s="1331">
        <v>1.8237587260513493</v>
      </c>
      <c r="M26" s="573">
        <v>0.19895285818050726</v>
      </c>
      <c r="N26" s="864">
        <v>0.39790571636101452</v>
      </c>
      <c r="O26" s="721">
        <v>0.12</v>
      </c>
      <c r="P26" s="721">
        <v>-0.61</v>
      </c>
      <c r="Q26" s="778">
        <v>0.44574751499999998</v>
      </c>
      <c r="R26" s="721">
        <f t="shared" si="2"/>
        <v>0.19576812542392125</v>
      </c>
      <c r="S26" s="573">
        <v>0.29204603142159236</v>
      </c>
      <c r="T26" s="573">
        <v>0.37113473123404955</v>
      </c>
      <c r="U26" s="573">
        <v>3.2456909326929462E-2</v>
      </c>
      <c r="V26" s="573">
        <v>4.6631790485527735E-2</v>
      </c>
      <c r="W26" s="887">
        <v>0.32450294074852182</v>
      </c>
      <c r="X26" s="721">
        <f t="shared" si="0"/>
        <v>5.6201608584641365</v>
      </c>
      <c r="Y26" s="721">
        <f t="shared" si="1"/>
        <v>0.61310032421151039</v>
      </c>
      <c r="Z26" s="721"/>
      <c r="AA26" s="1537">
        <f>C26/AVERAGE(BJ61,BJ64,BJ65)</f>
        <v>64.807765899100744</v>
      </c>
      <c r="AB26" s="857">
        <v>64.807765899100744</v>
      </c>
      <c r="AC26" s="406">
        <v>105.06808785873606</v>
      </c>
      <c r="AD26" s="909">
        <v>210.13617571747213</v>
      </c>
      <c r="AE26" s="1539">
        <f>AVERAGE(BJ61,BJ64,BJ65)/I26</f>
        <v>2.8141052245046691E-2</v>
      </c>
      <c r="AF26" s="570"/>
      <c r="AG26" s="912">
        <v>2.8141052245046691E-2</v>
      </c>
      <c r="AH26" s="909">
        <v>4.5709024266056456E-2</v>
      </c>
      <c r="AI26" s="904">
        <v>9.1418048532112911E-2</v>
      </c>
      <c r="AJ26" s="435" t="s">
        <v>20</v>
      </c>
      <c r="AL26" s="207" t="s">
        <v>1376</v>
      </c>
      <c r="AM26" s="141"/>
      <c r="AN26" s="143">
        <v>3.6571881269516915</v>
      </c>
      <c r="AO26" s="141"/>
      <c r="AP26" s="141">
        <v>660831.8514171748</v>
      </c>
      <c r="AQ26" s="141">
        <v>192.19163067221649</v>
      </c>
      <c r="AR26" s="142">
        <v>91400</v>
      </c>
      <c r="AS26" s="141">
        <v>89148.403893546187</v>
      </c>
      <c r="AT26" s="141">
        <v>390.51383172810063</v>
      </c>
      <c r="AU26" s="141"/>
      <c r="AV26" s="141"/>
      <c r="AW26" s="143"/>
      <c r="AX26" s="143">
        <v>3.6456001409539036</v>
      </c>
      <c r="AY26" s="143"/>
      <c r="AZ26" s="144" t="s">
        <v>1377</v>
      </c>
      <c r="BA26" s="141">
        <v>36.303996620051088</v>
      </c>
      <c r="BB26" s="141">
        <v>109.01775972386095</v>
      </c>
      <c r="BC26" s="141"/>
      <c r="BD26" s="143">
        <v>1.1489173737597167</v>
      </c>
      <c r="BE26" s="143">
        <v>3.1606126029760109</v>
      </c>
      <c r="BF26" s="141">
        <v>44.816351496998067</v>
      </c>
      <c r="BG26" s="141"/>
      <c r="BH26" s="141">
        <v>42.351710584582307</v>
      </c>
      <c r="BI26" s="141"/>
      <c r="BJ26" s="141"/>
      <c r="BK26" s="143">
        <v>5.2138763185990484</v>
      </c>
      <c r="BL26" s="145">
        <v>3.5984508899112096E-2</v>
      </c>
      <c r="BM26" s="145">
        <v>4.2624061876219484E-2</v>
      </c>
      <c r="BN26" s="145">
        <v>4.4796346230447405E-2</v>
      </c>
      <c r="BO26" s="145">
        <v>0.28547725732866308</v>
      </c>
      <c r="BP26" s="141">
        <v>39.966524337344197</v>
      </c>
      <c r="BQ26" s="141"/>
      <c r="BR26" s="141"/>
      <c r="BS26" s="146"/>
      <c r="BT26" s="147">
        <v>45.488002777099595</v>
      </c>
      <c r="BU26" s="148">
        <v>2.5871825329073443</v>
      </c>
      <c r="BV26" s="146"/>
      <c r="BW26" s="146" t="s">
        <v>1182</v>
      </c>
    </row>
    <row r="27" spans="1:75">
      <c r="A27" s="672" t="s">
        <v>270</v>
      </c>
      <c r="B27" s="672" t="s">
        <v>422</v>
      </c>
      <c r="C27" s="1457">
        <f>AVERAGE(BK15:BK18)</f>
        <v>147.16382069818928</v>
      </c>
      <c r="D27" s="673">
        <f>STDEV(BK15:BK18)</f>
        <v>11.478145077514169</v>
      </c>
      <c r="E27" s="1457">
        <v>22.956290155028338</v>
      </c>
      <c r="F27" s="673">
        <f>AVERAGE(BK20:BK24)</f>
        <v>0.49836283091756678</v>
      </c>
      <c r="G27" s="673">
        <f>STDEV(BK20:BK24)</f>
        <v>8.101020894356141E-2</v>
      </c>
      <c r="H27" s="673">
        <v>0.16202041788712282</v>
      </c>
      <c r="I27" s="1456">
        <f>AVERAGE(BK26:BK31)</f>
        <v>4.2909052140337698</v>
      </c>
      <c r="J27" s="673">
        <f>STDEV(BK26:BK31)</f>
        <v>0.58563034191280761</v>
      </c>
      <c r="K27" s="1456">
        <v>1.1712606838256152</v>
      </c>
      <c r="L27" s="1324">
        <v>34.296684116180778</v>
      </c>
      <c r="M27" s="749">
        <v>5.391303783987893</v>
      </c>
      <c r="N27" s="861">
        <v>10.782607567975786</v>
      </c>
      <c r="O27" s="732">
        <v>0.95</v>
      </c>
      <c r="P27" s="732">
        <v>-3.88</v>
      </c>
      <c r="Q27" s="779">
        <v>0.44574751499999998</v>
      </c>
      <c r="R27" s="732">
        <f>(1-(2*Q27))/(1-Q27)</f>
        <v>0.19576812542392125</v>
      </c>
      <c r="S27" s="749">
        <v>272.0536129070494</v>
      </c>
      <c r="T27" s="749">
        <v>1249.3191160389579</v>
      </c>
      <c r="U27" s="749">
        <v>259.76644639574039</v>
      </c>
      <c r="V27" s="749">
        <v>717.49905673616809</v>
      </c>
      <c r="W27" s="889">
        <v>531.82005930278979</v>
      </c>
      <c r="X27" s="732">
        <f t="shared" si="0"/>
        <v>6.4489263833228394E-2</v>
      </c>
      <c r="Y27" s="732">
        <f t="shared" si="1"/>
        <v>1.0137458506277168E-2</v>
      </c>
      <c r="Z27" s="732"/>
      <c r="AA27" s="732"/>
      <c r="AB27" s="877">
        <v>295.29453556405247</v>
      </c>
      <c r="AC27" s="732">
        <v>53.240466236009411</v>
      </c>
      <c r="AD27" s="927">
        <v>106.48093247201882</v>
      </c>
      <c r="AE27" s="749"/>
      <c r="AF27" s="749"/>
      <c r="AG27" s="928">
        <v>0.11614398502386603</v>
      </c>
      <c r="AH27" s="927">
        <v>2.4651720024246163E-2</v>
      </c>
      <c r="AI27" s="926">
        <v>4.9303440048492325E-2</v>
      </c>
      <c r="AJ27" s="672" t="s">
        <v>422</v>
      </c>
      <c r="AL27" s="207" t="s">
        <v>1378</v>
      </c>
      <c r="AM27" s="141"/>
      <c r="AN27" s="143">
        <v>2.4313120739659748</v>
      </c>
      <c r="AO27" s="141"/>
      <c r="AP27" s="141">
        <v>626743.52548816788</v>
      </c>
      <c r="AQ27" s="141">
        <v>164.04077395134149</v>
      </c>
      <c r="AR27" s="142">
        <v>91400</v>
      </c>
      <c r="AS27" s="141">
        <v>90768.999617299458</v>
      </c>
      <c r="AT27" s="141">
        <v>707.30120346918682</v>
      </c>
      <c r="AU27" s="141"/>
      <c r="AV27" s="141"/>
      <c r="AW27" s="141"/>
      <c r="AX27" s="143">
        <v>2.6921495241612439</v>
      </c>
      <c r="AY27" s="143"/>
      <c r="AZ27" s="144" t="s">
        <v>1379</v>
      </c>
      <c r="BA27" s="141">
        <v>27.294515082341011</v>
      </c>
      <c r="BB27" s="141">
        <v>95.275450877472551</v>
      </c>
      <c r="BC27" s="141"/>
      <c r="BD27" s="145">
        <v>0.92204915669684606</v>
      </c>
      <c r="BE27" s="143">
        <v>1.8548425518996918</v>
      </c>
      <c r="BF27" s="141">
        <v>39.320428968716591</v>
      </c>
      <c r="BG27" s="141"/>
      <c r="BH27" s="141">
        <v>37.847335704927708</v>
      </c>
      <c r="BI27" s="141"/>
      <c r="BJ27" s="141"/>
      <c r="BK27" s="143">
        <v>4.4261803501902035</v>
      </c>
      <c r="BL27" s="145">
        <v>2.5492947145382555E-2</v>
      </c>
      <c r="BM27" s="145">
        <v>2.0765678856261884E-2</v>
      </c>
      <c r="BN27" s="145">
        <v>4.0653597220351854E-2</v>
      </c>
      <c r="BO27" s="145">
        <v>0.1751080982814438</v>
      </c>
      <c r="BP27" s="141">
        <v>29.667370901935691</v>
      </c>
      <c r="BQ27" s="141"/>
      <c r="BR27" s="141"/>
      <c r="BS27" s="146"/>
      <c r="BT27" s="147">
        <v>40.735000610351598</v>
      </c>
      <c r="BU27" s="148">
        <v>2.7663456575781917</v>
      </c>
      <c r="BV27" s="146"/>
      <c r="BW27" s="146" t="s">
        <v>1184</v>
      </c>
    </row>
    <row r="28" spans="1:75">
      <c r="A28" s="672" t="s">
        <v>270</v>
      </c>
      <c r="B28" s="672" t="s">
        <v>22</v>
      </c>
      <c r="C28" s="1555">
        <f>AVERAGE(BL15:BL18)</f>
        <v>14.133227226821511</v>
      </c>
      <c r="D28" s="405">
        <f>STDEV(BL15:BL18)</f>
        <v>11.106675499585155</v>
      </c>
      <c r="E28" s="1555">
        <v>22.213350999170309</v>
      </c>
      <c r="F28" s="782">
        <f>AVERAGE(BL20:BL24)</f>
        <v>2.2408931302067103E-3</v>
      </c>
      <c r="G28" s="782" t="e">
        <f>STDEV(BL20:BL24)</f>
        <v>#DIV/0!</v>
      </c>
      <c r="H28" s="782" t="e">
        <v>#DIV/0!</v>
      </c>
      <c r="I28" s="841">
        <f>AVERAGE(BL26:BL31)</f>
        <v>3.0738728022247325E-2</v>
      </c>
      <c r="J28" s="841">
        <f>STDEV(BL26:BL31)</f>
        <v>7.4186544612995751E-3</v>
      </c>
      <c r="K28" s="841">
        <v>1.483730892259915E-2</v>
      </c>
      <c r="L28" s="1323">
        <v>459.78568848367797</v>
      </c>
      <c r="M28" s="571">
        <v>377.98093507488505</v>
      </c>
      <c r="N28" s="862">
        <v>755.96187014977011</v>
      </c>
      <c r="O28" s="732">
        <v>1.65</v>
      </c>
      <c r="P28" s="732">
        <v>-5.08</v>
      </c>
      <c r="Q28" s="779">
        <v>0.44574751499999998</v>
      </c>
      <c r="R28" s="732">
        <f t="shared" si="2"/>
        <v>0.19576812542392125</v>
      </c>
      <c r="S28" s="749">
        <v>2718.256094673739</v>
      </c>
      <c r="T28" s="749">
        <v>20001.260556888574</v>
      </c>
      <c r="U28" s="749">
        <v>3819.5897222597437</v>
      </c>
      <c r="V28" s="749">
        <v>13463.414739955091</v>
      </c>
      <c r="W28" s="889">
        <v>6537.8458169334826</v>
      </c>
      <c r="X28" s="732">
        <f t="shared" si="0"/>
        <v>7.0326786736511979E-2</v>
      </c>
      <c r="Y28" s="732">
        <f t="shared" si="1"/>
        <v>5.7814293218094517E-2</v>
      </c>
      <c r="Z28" s="732"/>
      <c r="AA28" s="732">
        <f>C28/AVERAGE(0.02, BL21, BL8, 0.03, 0.01)</f>
        <v>1064.2195823432116</v>
      </c>
      <c r="AB28" s="857">
        <v>6306.9617360636012</v>
      </c>
      <c r="AC28" s="406" t="e">
        <v>#DIV/0!</v>
      </c>
      <c r="AD28" s="909" t="e">
        <v>#DIV/0!</v>
      </c>
      <c r="AE28" s="749">
        <f>AVERAGE(0.02,BL21,BL8,0.03,0.01)/I28</f>
        <v>0.43204024443086847</v>
      </c>
      <c r="AF28" s="749"/>
      <c r="AG28" s="912">
        <v>7.2901296650429104E-2</v>
      </c>
      <c r="AH28" s="909" t="e">
        <v>#DIV/0!</v>
      </c>
      <c r="AI28" s="904" t="e">
        <v>#DIV/0!</v>
      </c>
      <c r="AJ28" s="672" t="s">
        <v>22</v>
      </c>
      <c r="AL28" s="207" t="s">
        <v>1380</v>
      </c>
      <c r="AM28" s="141"/>
      <c r="AN28" s="143">
        <v>6.2930148893405606</v>
      </c>
      <c r="AO28" s="141"/>
      <c r="AP28" s="141">
        <v>854913.46007981163</v>
      </c>
      <c r="AQ28" s="141">
        <v>152.39260254909752</v>
      </c>
      <c r="AR28" s="142">
        <v>91400</v>
      </c>
      <c r="AS28" s="141">
        <v>94585.849648000629</v>
      </c>
      <c r="AT28" s="141">
        <v>963.17325904861968</v>
      </c>
      <c r="AU28" s="141"/>
      <c r="AV28" s="141"/>
      <c r="AW28" s="141"/>
      <c r="AX28" s="143">
        <v>2.3826623449549929</v>
      </c>
      <c r="AY28" s="141"/>
      <c r="AZ28" s="144" t="s">
        <v>1381</v>
      </c>
      <c r="BA28" s="141">
        <v>27.110797954092082</v>
      </c>
      <c r="BB28" s="141">
        <v>175.77392505029991</v>
      </c>
      <c r="BC28" s="141"/>
      <c r="BD28" s="145">
        <v>0.87368525077289472</v>
      </c>
      <c r="BE28" s="143">
        <v>1.5759144562727743</v>
      </c>
      <c r="BF28" s="141">
        <v>26.339626750983804</v>
      </c>
      <c r="BG28" s="141"/>
      <c r="BH28" s="141">
        <v>27.523835537942706</v>
      </c>
      <c r="BI28" s="141"/>
      <c r="BJ28" s="141"/>
      <c r="BK28" s="143">
        <v>4.1293586528640454</v>
      </c>
      <c r="BL28" s="144" t="s">
        <v>41</v>
      </c>
      <c r="BM28" s="145">
        <v>1.4722934665013676E-2</v>
      </c>
      <c r="BN28" s="145">
        <v>9.4185674426370339E-3</v>
      </c>
      <c r="BO28" s="145">
        <v>0.11751250744196701</v>
      </c>
      <c r="BP28" s="141">
        <v>28.721294115254871</v>
      </c>
      <c r="BQ28" s="141"/>
      <c r="BR28" s="141"/>
      <c r="BS28" s="146"/>
      <c r="BT28" s="147">
        <v>44.130002975463896</v>
      </c>
      <c r="BU28" s="148">
        <v>1.3285488517502244</v>
      </c>
      <c r="BV28" s="146"/>
      <c r="BW28" s="146" t="s">
        <v>1192</v>
      </c>
    </row>
    <row r="29" spans="1:75">
      <c r="A29" s="672" t="s">
        <v>270</v>
      </c>
      <c r="B29" s="672" t="s">
        <v>23</v>
      </c>
      <c r="C29" s="405">
        <f>AVERAGE(BM15:BM18)</f>
        <v>42.346508942921325</v>
      </c>
      <c r="D29" s="405">
        <f>STDEV(BM15:BM18)</f>
        <v>25.892594146185381</v>
      </c>
      <c r="E29" s="405">
        <v>51.785188292370762</v>
      </c>
      <c r="F29" s="782">
        <f>AVERAGE(BM20:BM24)</f>
        <v>2.9956697975483176E-3</v>
      </c>
      <c r="G29" s="782" t="e">
        <f>STDEV(BM20:BM24)</f>
        <v>#DIV/0!</v>
      </c>
      <c r="H29" s="782" t="e">
        <v>#DIV/0!</v>
      </c>
      <c r="I29" s="782">
        <f>AVERAGE(BM26:BM31)</f>
        <v>1.6511431767390894E-2</v>
      </c>
      <c r="J29" s="782">
        <f>STDEV(BM26:BM31)</f>
        <v>1.6743695920682013E-2</v>
      </c>
      <c r="K29" s="782">
        <v>3.3487391841364025E-2</v>
      </c>
      <c r="L29" s="1323">
        <v>2564.6781902071743</v>
      </c>
      <c r="M29" s="571">
        <v>3036.94887926806</v>
      </c>
      <c r="N29" s="862">
        <v>6073.8977585361199</v>
      </c>
      <c r="O29" s="732">
        <v>1.71</v>
      </c>
      <c r="P29" s="732">
        <v>-5.34</v>
      </c>
      <c r="Q29" s="779">
        <v>0.44574751499999998</v>
      </c>
      <c r="R29" s="732">
        <f t="shared" si="2"/>
        <v>0.19576812542392125</v>
      </c>
      <c r="S29" s="749">
        <v>4115.6860197980177</v>
      </c>
      <c r="T29" s="749">
        <v>33540.638280665909</v>
      </c>
      <c r="U29" s="749">
        <v>6237.9745970549347</v>
      </c>
      <c r="V29" s="749">
        <v>23186.977663812955</v>
      </c>
      <c r="W29" s="889">
        <v>10353.660616852952</v>
      </c>
      <c r="X29" s="732">
        <f t="shared" si="0"/>
        <v>0.24770738438466619</v>
      </c>
      <c r="Y29" s="732">
        <f t="shared" si="1"/>
        <v>0.29332126980526391</v>
      </c>
      <c r="Z29" s="732"/>
      <c r="AA29" s="732">
        <f>C29/AVERAGE(BM8,BM21,BM8,BM9,BM9)</f>
        <v>10676.094528435962</v>
      </c>
      <c r="AB29" s="857">
        <v>14135.906760343907</v>
      </c>
      <c r="AC29" s="406" t="e">
        <v>#DIV/0!</v>
      </c>
      <c r="AD29" s="1388" t="e">
        <v>#DIV/0!</v>
      </c>
      <c r="AE29" s="749">
        <f>AVERAGE(BM8,BM21,BM8,BM9,BM9)/I29</f>
        <v>0.24022625346526391</v>
      </c>
      <c r="AF29" s="749"/>
      <c r="AG29" s="912">
        <v>0.18143004433235094</v>
      </c>
      <c r="AH29" s="909" t="e">
        <v>#DIV/0!</v>
      </c>
      <c r="AI29" s="904" t="e">
        <v>#DIV/0!</v>
      </c>
      <c r="AJ29" s="672" t="s">
        <v>23</v>
      </c>
      <c r="AL29" s="207" t="s">
        <v>1382</v>
      </c>
      <c r="AM29" s="141"/>
      <c r="AN29" s="144" t="s">
        <v>451</v>
      </c>
      <c r="AO29" s="141"/>
      <c r="AP29" s="141">
        <v>634489.76767117495</v>
      </c>
      <c r="AQ29" s="141">
        <v>153.04353829041463</v>
      </c>
      <c r="AR29" s="142">
        <v>91400</v>
      </c>
      <c r="AS29" s="141">
        <v>96044.263109781765</v>
      </c>
      <c r="AT29" s="141">
        <v>666.31357222912789</v>
      </c>
      <c r="AU29" s="141"/>
      <c r="AV29" s="141"/>
      <c r="AW29" s="141"/>
      <c r="AX29" s="143">
        <v>2.8037705767406518</v>
      </c>
      <c r="AY29" s="143"/>
      <c r="AZ29" s="144" t="s">
        <v>1108</v>
      </c>
      <c r="BA29" s="141">
        <v>25.675391625871558</v>
      </c>
      <c r="BB29" s="141">
        <v>102.88328655478037</v>
      </c>
      <c r="BC29" s="141"/>
      <c r="BD29" s="145">
        <v>0.88758487904882843</v>
      </c>
      <c r="BE29" s="143">
        <v>1.9410658199921713</v>
      </c>
      <c r="BF29" s="141">
        <v>35.709872212057114</v>
      </c>
      <c r="BG29" s="141"/>
      <c r="BH29" s="141">
        <v>36.009875188016672</v>
      </c>
      <c r="BI29" s="141"/>
      <c r="BJ29" s="141"/>
      <c r="BK29" s="143">
        <v>3.833053491375614</v>
      </c>
      <c r="BL29" s="144" t="s">
        <v>214</v>
      </c>
      <c r="BM29" s="150">
        <v>4.4444834394594297E-3</v>
      </c>
      <c r="BN29" s="145">
        <v>3.9903693672367152E-2</v>
      </c>
      <c r="BO29" s="145">
        <v>0.26153891649653699</v>
      </c>
      <c r="BP29" s="141">
        <v>28.443280205244385</v>
      </c>
      <c r="BQ29" s="141"/>
      <c r="BR29" s="141"/>
      <c r="BS29" s="146"/>
      <c r="BT29" s="147">
        <v>43.451000213623097</v>
      </c>
      <c r="BU29" s="148">
        <v>1.4715322530838082</v>
      </c>
      <c r="BV29" s="146"/>
      <c r="BW29" s="146" t="s">
        <v>1198</v>
      </c>
    </row>
    <row r="30" spans="1:75">
      <c r="A30" s="672" t="s">
        <v>270</v>
      </c>
      <c r="B30" s="672" t="s">
        <v>24</v>
      </c>
      <c r="C30" s="1555">
        <f>AVERAGE(BN15:BN18)</f>
        <v>20.250629129743078</v>
      </c>
      <c r="D30" s="405">
        <f>STDEV(BN15:BN18)</f>
        <v>12.584481524749599</v>
      </c>
      <c r="E30" s="1555">
        <v>25.168963049499197</v>
      </c>
      <c r="F30" s="405" t="e">
        <f>AVERAGE(BN20:BN24)</f>
        <v>#DIV/0!</v>
      </c>
      <c r="G30" s="782" t="e">
        <f>STDEV(BN20:BN24)</f>
        <v>#DIV/0!</v>
      </c>
      <c r="H30" s="782" t="e">
        <v>#DIV/0!</v>
      </c>
      <c r="I30" s="841">
        <f>AVERAGE(BN26:BN31)</f>
        <v>3.2720427841771406E-2</v>
      </c>
      <c r="J30" s="841">
        <f>STDEV(BN26:BN31)</f>
        <v>1.4304500381892328E-2</v>
      </c>
      <c r="K30" s="841">
        <v>2.8609000763784656E-2</v>
      </c>
      <c r="L30" s="1323">
        <v>618.89866561863266</v>
      </c>
      <c r="M30" s="571">
        <v>470.24244198492505</v>
      </c>
      <c r="N30" s="862">
        <v>940.4848839698501</v>
      </c>
      <c r="O30" s="732">
        <v>1.49</v>
      </c>
      <c r="P30" s="732">
        <v>-5.04</v>
      </c>
      <c r="Q30" s="779">
        <v>0.44574751499999998</v>
      </c>
      <c r="R30" s="732">
        <f t="shared" si="2"/>
        <v>0.19576812542392125</v>
      </c>
      <c r="S30" s="749">
        <v>2315.5998362752143</v>
      </c>
      <c r="T30" s="749">
        <v>16772.80006756922</v>
      </c>
      <c r="U30" s="749">
        <v>3215.4386170654725</v>
      </c>
      <c r="V30" s="749">
        <v>11241.761614228533</v>
      </c>
      <c r="W30" s="889">
        <v>5531.0384533406868</v>
      </c>
      <c r="X30" s="732">
        <f t="shared" si="0"/>
        <v>0.11189556370645455</v>
      </c>
      <c r="Y30" s="732">
        <f t="shared" si="1"/>
        <v>8.5018834338586771E-2</v>
      </c>
      <c r="Z30" s="732"/>
      <c r="AA30" s="732">
        <f>C30/AVERAGE(0.0073, 0.01)</f>
        <v>2341.1131941899512</v>
      </c>
      <c r="AB30" s="857" t="e">
        <v>#DIV/0!</v>
      </c>
      <c r="AC30" s="406" t="e">
        <v>#DIV/0!</v>
      </c>
      <c r="AD30" s="909" t="e">
        <v>#DIV/0!</v>
      </c>
      <c r="AE30" s="779"/>
      <c r="AF30" s="749"/>
      <c r="AG30" s="912" t="e">
        <v>#DIV/0!</v>
      </c>
      <c r="AH30" s="909" t="e">
        <v>#DIV/0!</v>
      </c>
      <c r="AI30" s="904" t="e">
        <v>#DIV/0!</v>
      </c>
      <c r="AJ30" s="672" t="s">
        <v>24</v>
      </c>
      <c r="AL30" s="293" t="s">
        <v>1221</v>
      </c>
      <c r="AM30" s="141"/>
      <c r="AN30" s="143"/>
      <c r="AO30" s="141"/>
      <c r="AP30" s="141">
        <v>844768.96821710025</v>
      </c>
      <c r="AQ30" s="141">
        <v>165.21730767005536</v>
      </c>
      <c r="AR30" s="142">
        <v>91400</v>
      </c>
      <c r="AS30" s="141">
        <v>87969.057083828971</v>
      </c>
      <c r="AT30" s="141">
        <v>607.03453614343096</v>
      </c>
      <c r="AU30" s="141"/>
      <c r="AV30" s="141"/>
      <c r="AW30" s="141"/>
      <c r="AX30" s="143">
        <v>2.8831918520405093</v>
      </c>
      <c r="AY30" s="143"/>
      <c r="AZ30" s="144" t="s">
        <v>1388</v>
      </c>
      <c r="BA30" s="141">
        <v>26.691091232106324</v>
      </c>
      <c r="BB30" s="141">
        <v>137.05926807360098</v>
      </c>
      <c r="BC30" s="141"/>
      <c r="BD30" s="145">
        <v>0.56739295030599579</v>
      </c>
      <c r="BE30" s="143">
        <v>1.4871534467170924</v>
      </c>
      <c r="BF30" s="141">
        <v>35.040705966017491</v>
      </c>
      <c r="BG30" s="141"/>
      <c r="BH30" s="141">
        <v>35.215582519807562</v>
      </c>
      <c r="BI30" s="141"/>
      <c r="BJ30" s="141"/>
      <c r="BK30" s="143">
        <v>3.5652104540290734</v>
      </c>
      <c r="BL30" s="144" t="s">
        <v>58</v>
      </c>
      <c r="BM30" s="141">
        <v>0</v>
      </c>
      <c r="BN30" s="145">
        <v>2.8829934643053595E-2</v>
      </c>
      <c r="BO30" s="144" t="s">
        <v>56</v>
      </c>
      <c r="BP30" s="141">
        <v>27.522378443421673</v>
      </c>
      <c r="BQ30" s="141"/>
      <c r="BR30" s="141"/>
      <c r="BS30" s="146"/>
      <c r="BT30" s="147">
        <v>44.130002975463896</v>
      </c>
      <c r="BU30" s="148">
        <v>1.7131998464926717</v>
      </c>
      <c r="BV30" s="146"/>
      <c r="BW30" s="149" t="s">
        <v>1222</v>
      </c>
    </row>
    <row r="31" spans="1:75" ht="17" thickBot="1">
      <c r="A31" s="672" t="s">
        <v>270</v>
      </c>
      <c r="B31" s="672" t="s">
        <v>25</v>
      </c>
      <c r="C31" s="405">
        <f>AVERAGE(BO15:BO18)</f>
        <v>125.22239769400458</v>
      </c>
      <c r="D31" s="405">
        <f>STDEV(BO15:BO18)</f>
        <v>40.754469809583576</v>
      </c>
      <c r="E31" s="405">
        <v>81.508939619167151</v>
      </c>
      <c r="F31" s="783">
        <f>AVERAGE(BO20:BO24)</f>
        <v>3.8094558198515107E-3</v>
      </c>
      <c r="G31" s="784" t="e">
        <f>STDEV(BO20:BO24)</f>
        <v>#DIV/0!</v>
      </c>
      <c r="H31" s="783" t="e">
        <v>#DIV/0!</v>
      </c>
      <c r="I31" s="782">
        <f>AVERAGE(BO26:BO31)</f>
        <v>0.17735602373800605</v>
      </c>
      <c r="J31" s="782">
        <f>STDEV(BO26:BO31)</f>
        <v>9.9144595702113897E-2</v>
      </c>
      <c r="K31" s="782">
        <v>0.19828919140422779</v>
      </c>
      <c r="L31" s="1323">
        <v>706.05099874693667</v>
      </c>
      <c r="M31" s="571">
        <v>456.71149135991175</v>
      </c>
      <c r="N31" s="862">
        <v>913.42298271982349</v>
      </c>
      <c r="O31" s="732">
        <v>0.95</v>
      </c>
      <c r="P31" s="732">
        <v>-4.2</v>
      </c>
      <c r="Q31" s="779">
        <v>0.44574751499999998</v>
      </c>
      <c r="R31" s="732">
        <f t="shared" si="2"/>
        <v>0.19576812542392125</v>
      </c>
      <c r="S31" s="749">
        <v>433.79842755230646</v>
      </c>
      <c r="T31" s="749">
        <v>2258.9486398521417</v>
      </c>
      <c r="U31" s="749">
        <v>462.40640167641806</v>
      </c>
      <c r="V31" s="749">
        <v>1362.7438106234172</v>
      </c>
      <c r="W31" s="889">
        <v>896.20482922872452</v>
      </c>
      <c r="X31" s="732">
        <f t="shared" si="0"/>
        <v>0.78782324723084274</v>
      </c>
      <c r="Y31" s="732">
        <f t="shared" si="1"/>
        <v>0.50960614857761755</v>
      </c>
      <c r="Z31" s="732"/>
      <c r="AA31" s="732">
        <f>C31/AVERAGE(0.0059, 0.0059, 0.0059, 0.0055, 0.0055)</f>
        <v>21815.748727178499</v>
      </c>
      <c r="AB31" s="857">
        <v>32871.466061230145</v>
      </c>
      <c r="AC31" s="406" t="e">
        <v>#DIV/0!</v>
      </c>
      <c r="AD31" s="1388" t="e">
        <v>#DIV/0!</v>
      </c>
      <c r="AE31" s="749">
        <f>AVERAGE(BO8,BO8,BO8,BO23,BO9)/I31</f>
        <v>3.0451014874884458E-2</v>
      </c>
      <c r="AF31" s="749"/>
      <c r="AG31" s="912">
        <v>2.1479145391074605E-2</v>
      </c>
      <c r="AH31" s="909" t="e">
        <v>#DIV/0!</v>
      </c>
      <c r="AI31" s="904" t="e">
        <v>#DIV/0!</v>
      </c>
      <c r="AJ31" s="672" t="s">
        <v>25</v>
      </c>
      <c r="AL31" s="293" t="s">
        <v>1229</v>
      </c>
      <c r="AM31" s="141"/>
      <c r="AN31" s="141"/>
      <c r="AO31" s="141"/>
      <c r="AP31" s="141">
        <v>938318.38284540328</v>
      </c>
      <c r="AQ31" s="141">
        <v>145.74449970733482</v>
      </c>
      <c r="AR31" s="142">
        <v>91400</v>
      </c>
      <c r="AS31" s="141">
        <v>93315.6662415795</v>
      </c>
      <c r="AT31" s="141">
        <v>1006.7829654488127</v>
      </c>
      <c r="AU31" s="141"/>
      <c r="AV31" s="141"/>
      <c r="AW31" s="141"/>
      <c r="AX31" s="145">
        <v>0.98116043280453613</v>
      </c>
      <c r="AY31" s="143"/>
      <c r="AZ31" s="144" t="s">
        <v>1389</v>
      </c>
      <c r="BA31" s="141">
        <v>19.133592775968314</v>
      </c>
      <c r="BB31" s="141">
        <v>146.88868976265428</v>
      </c>
      <c r="BC31" s="141"/>
      <c r="BD31" s="144" t="s">
        <v>213</v>
      </c>
      <c r="BE31" s="145">
        <v>0.29250558899705248</v>
      </c>
      <c r="BF31" s="141">
        <v>31.145575996202361</v>
      </c>
      <c r="BG31" s="141"/>
      <c r="BH31" s="141">
        <v>35.017625313386262</v>
      </c>
      <c r="BI31" s="141"/>
      <c r="BJ31" s="141"/>
      <c r="BK31" s="143">
        <v>4.5777520171446291</v>
      </c>
      <c r="BL31" s="144" t="s">
        <v>179</v>
      </c>
      <c r="BM31" s="144" t="s">
        <v>139</v>
      </c>
      <c r="BN31" s="144" t="s">
        <v>1317</v>
      </c>
      <c r="BO31" s="145">
        <v>4.7143339141419445E-2</v>
      </c>
      <c r="BP31" s="141">
        <v>17.663522872771296</v>
      </c>
      <c r="BQ31" s="141"/>
      <c r="BR31" s="141"/>
      <c r="BS31" s="146"/>
      <c r="BT31" s="147">
        <v>24.4409999847412</v>
      </c>
      <c r="BU31" s="148">
        <v>1.9096934242193606</v>
      </c>
      <c r="BV31" s="146"/>
      <c r="BW31" s="149" t="s">
        <v>1230</v>
      </c>
    </row>
    <row r="32" spans="1:75">
      <c r="A32" s="672" t="s">
        <v>270</v>
      </c>
      <c r="B32" s="672" t="s">
        <v>26</v>
      </c>
      <c r="C32" s="1457">
        <f>AVERAGE(BP15:BP18)</f>
        <v>232.01703155926447</v>
      </c>
      <c r="D32" s="673">
        <f>STDEV(BP15:BP18)</f>
        <v>6.6199977680043949</v>
      </c>
      <c r="E32" s="1457">
        <v>13.23999553600879</v>
      </c>
      <c r="F32" s="405">
        <f>AVERAGE(BP20:BP24)</f>
        <v>0.86070734704484797</v>
      </c>
      <c r="G32" s="405">
        <f>STDEV(BP20:BP24)</f>
        <v>0.83837014782048414</v>
      </c>
      <c r="H32" s="405">
        <v>1.6767402956409683</v>
      </c>
      <c r="I32" s="1457">
        <f>AVERAGE(BP26:BP31)</f>
        <v>28.664061812662016</v>
      </c>
      <c r="J32" s="673">
        <f>STDEV(BP26:BP31)</f>
        <v>7.0868837465948493</v>
      </c>
      <c r="K32" s="1457">
        <v>14.173767493189699</v>
      </c>
      <c r="L32" s="1324">
        <v>8.0943528895396692</v>
      </c>
      <c r="M32" s="749">
        <v>2.014524723800494</v>
      </c>
      <c r="N32" s="861">
        <v>4.0290494476009879</v>
      </c>
      <c r="O32" s="732">
        <v>0.37</v>
      </c>
      <c r="P32" s="732">
        <v>-1.72</v>
      </c>
      <c r="Q32" s="779">
        <v>0.44574751499999998</v>
      </c>
      <c r="R32" s="732">
        <f t="shared" si="2"/>
        <v>0.19576812542392125</v>
      </c>
      <c r="S32" s="749">
        <v>4.5431456037186457</v>
      </c>
      <c r="T32" s="749">
        <v>8.9295371022595731</v>
      </c>
      <c r="U32" s="749">
        <v>1.5719818695373933</v>
      </c>
      <c r="V32" s="749">
        <v>2.8144096290035341</v>
      </c>
      <c r="W32" s="889">
        <v>6.115127473256039</v>
      </c>
      <c r="X32" s="732">
        <f t="shared" si="0"/>
        <v>1.3236605328244742</v>
      </c>
      <c r="Y32" s="732">
        <f t="shared" si="1"/>
        <v>0.32943298935481508</v>
      </c>
      <c r="Z32" s="732"/>
      <c r="AA32" s="732"/>
      <c r="AB32" s="857">
        <v>269.56552927760123</v>
      </c>
      <c r="AC32" s="406">
        <v>262.68235194432145</v>
      </c>
      <c r="AD32" s="909">
        <v>525.36470388864291</v>
      </c>
      <c r="AE32" s="749"/>
      <c r="AF32" s="749"/>
      <c r="AG32" s="912">
        <v>3.0027403396982646E-2</v>
      </c>
      <c r="AH32" s="909">
        <v>3.0175621011066821E-2</v>
      </c>
      <c r="AI32" s="904">
        <v>6.0351242022133642E-2</v>
      </c>
      <c r="AJ32" s="672" t="s">
        <v>26</v>
      </c>
      <c r="AL32" s="637" t="s">
        <v>86</v>
      </c>
      <c r="AM32" s="638"/>
      <c r="AN32" s="639">
        <v>23.334740379304851</v>
      </c>
      <c r="AO32" s="640"/>
      <c r="AP32" s="639">
        <v>936021.71844382701</v>
      </c>
      <c r="AQ32" s="639">
        <v>4622.1451220230419</v>
      </c>
      <c r="AR32" s="641">
        <v>55500</v>
      </c>
      <c r="AS32" s="639">
        <v>52973.431514396209</v>
      </c>
      <c r="AT32" s="639">
        <v>146.70057895697116</v>
      </c>
      <c r="AU32" s="642"/>
      <c r="AV32" s="638"/>
      <c r="AW32" s="639">
        <v>56.353606035864871</v>
      </c>
      <c r="AX32" s="639">
        <v>59.071567326693803</v>
      </c>
      <c r="AY32" s="639">
        <v>175.38107159671281</v>
      </c>
      <c r="AZ32" s="639">
        <v>172.83807266346471</v>
      </c>
      <c r="BA32" s="643">
        <v>4.2595271223248172</v>
      </c>
      <c r="BB32" s="643">
        <v>6.7303646674401802</v>
      </c>
      <c r="BC32" s="643">
        <v>6.8863807171928544</v>
      </c>
      <c r="BD32" s="639">
        <v>20.746539787916547</v>
      </c>
      <c r="BE32" s="643">
        <v>2.1212459580085232</v>
      </c>
      <c r="BF32" s="643">
        <v>1.4109418056546368</v>
      </c>
      <c r="BG32" s="638"/>
      <c r="BH32" s="643">
        <v>1.2421024988091611</v>
      </c>
      <c r="BI32" s="640"/>
      <c r="BJ32" s="640"/>
      <c r="BK32" s="643">
        <v>2.7418488273537887</v>
      </c>
      <c r="BL32" s="643">
        <v>1.1091725068955938</v>
      </c>
      <c r="BM32" s="643">
        <v>8.9864182756704647</v>
      </c>
      <c r="BN32" s="639">
        <v>14.474776297891768</v>
      </c>
      <c r="BO32" s="639">
        <v>29.314312845464041</v>
      </c>
      <c r="BP32" s="644">
        <v>0.66615121038856295</v>
      </c>
      <c r="BQ32" s="640"/>
      <c r="BR32" s="640"/>
      <c r="BS32" s="645"/>
      <c r="BT32" s="646">
        <v>44.8090019226075</v>
      </c>
      <c r="BU32" s="647">
        <v>0.86411492842540694</v>
      </c>
      <c r="BV32" s="645"/>
      <c r="BW32" s="648" t="s">
        <v>1199</v>
      </c>
    </row>
    <row r="33" spans="1:77" ht="17" thickBot="1">
      <c r="A33" s="435" t="s">
        <v>313</v>
      </c>
      <c r="B33" s="435" t="s">
        <v>27</v>
      </c>
      <c r="C33" s="1554">
        <f>AVERAGE(BQ56:BQ59)</f>
        <v>0.33877953585507342</v>
      </c>
      <c r="D33" s="782">
        <f>STDEV(BQ56:BQ59)</f>
        <v>0.49295719100036717</v>
      </c>
      <c r="E33" s="1554">
        <v>0.98591438200073434</v>
      </c>
      <c r="F33" s="1555">
        <f>AVERAGE(BQ61:BQ65)</f>
        <v>2.7611749073794098</v>
      </c>
      <c r="G33" s="405">
        <f>STDEV(BQ61:BQ65)</f>
        <v>5.7671387888345187</v>
      </c>
      <c r="H33" s="1555">
        <v>11.534277577669037</v>
      </c>
      <c r="I33" s="1453">
        <f>AVERAGE(BQ67:BQ72)</f>
        <v>185.90109506560717</v>
      </c>
      <c r="J33" s="434">
        <f>STDEV(BQ67:BQ72)</f>
        <v>88.552462528590652</v>
      </c>
      <c r="K33" s="1453">
        <v>177.1049250571813</v>
      </c>
      <c r="L33" s="1323">
        <v>1.8223643907827076E-3</v>
      </c>
      <c r="M33" s="571">
        <v>2.7901878879319874E-3</v>
      </c>
      <c r="N33" s="862">
        <v>5.5803757758639749E-3</v>
      </c>
      <c r="O33" s="721">
        <v>2.5000000000000001E-2</v>
      </c>
      <c r="P33" s="721">
        <v>3</v>
      </c>
      <c r="Q33" s="778">
        <v>0.44574751499999998</v>
      </c>
      <c r="R33" s="721">
        <f t="shared" si="2"/>
        <v>0.19576812542392125</v>
      </c>
      <c r="S33" s="1333">
        <f>O33*(((1-(2*C47))/(1-C47))^P33)</f>
        <v>9.6912746242480376E-5</v>
      </c>
      <c r="T33" s="1333">
        <f>O33*(((1-(2*C46))/(1-C46))^P33)</f>
        <v>3.1495693413777692E-4</v>
      </c>
      <c r="U33" s="1333">
        <v>9.0658366774788111E-5</v>
      </c>
      <c r="V33" s="1333">
        <v>1.2738582112050843E-4</v>
      </c>
      <c r="W33" s="900">
        <v>1.8757111301726849E-4</v>
      </c>
      <c r="X33" s="721">
        <f t="shared" si="0"/>
        <v>9.715591923874408</v>
      </c>
      <c r="Y33" s="721">
        <f t="shared" si="1"/>
        <v>14.875360299616672</v>
      </c>
      <c r="Z33" s="573">
        <f>AVERAGE(0.09,BQ57,BQ58,BQ59)/F33</f>
        <v>0.10016918926508987</v>
      </c>
      <c r="AA33" s="721"/>
      <c r="AB33" s="868">
        <v>0.1226939789108123</v>
      </c>
      <c r="AC33" s="571">
        <v>0.31232265946801879</v>
      </c>
      <c r="AD33" s="909">
        <v>0.62464531893603759</v>
      </c>
      <c r="AE33" s="570"/>
      <c r="AF33" s="570"/>
      <c r="AG33" s="912">
        <v>1.4852924381133698E-2</v>
      </c>
      <c r="AH33" s="909">
        <v>3.1819168266383306E-2</v>
      </c>
      <c r="AI33" s="904">
        <v>6.3638336532766612E-2</v>
      </c>
      <c r="AJ33" s="435" t="s">
        <v>27</v>
      </c>
      <c r="AL33" s="649" t="s">
        <v>88</v>
      </c>
      <c r="AM33" s="654"/>
      <c r="AN33" s="651">
        <v>23.082747610302746</v>
      </c>
      <c r="AO33" s="652"/>
      <c r="AP33" s="651">
        <v>954986.79522831191</v>
      </c>
      <c r="AQ33" s="651">
        <v>4661.532278341524</v>
      </c>
      <c r="AR33" s="268">
        <v>55500</v>
      </c>
      <c r="AS33" s="651">
        <v>58034.217338344984</v>
      </c>
      <c r="AT33" s="651">
        <v>145.93525758161613</v>
      </c>
      <c r="AU33" s="650"/>
      <c r="AV33" s="654"/>
      <c r="AW33" s="651">
        <v>60.691589670192222</v>
      </c>
      <c r="AX33" s="651">
        <v>57.984869834202861</v>
      </c>
      <c r="AY33" s="651">
        <v>181.81921156494431</v>
      </c>
      <c r="AZ33" s="651">
        <v>184.35927111693482</v>
      </c>
      <c r="BA33" s="653">
        <v>4.4176761246662997</v>
      </c>
      <c r="BB33" s="653">
        <v>6.187598421640562</v>
      </c>
      <c r="BC33" s="653">
        <v>6.0312552822886678</v>
      </c>
      <c r="BD33" s="651">
        <v>19.622336554263068</v>
      </c>
      <c r="BE33" s="653">
        <v>2.1169482208689945</v>
      </c>
      <c r="BF33" s="653">
        <v>1.4745935505163543</v>
      </c>
      <c r="BG33" s="654"/>
      <c r="BH33" s="653">
        <v>1.6430294377165018</v>
      </c>
      <c r="BI33" s="652"/>
      <c r="BJ33" s="652"/>
      <c r="BK33" s="653">
        <v>3.0085560863434786</v>
      </c>
      <c r="BL33" s="653">
        <v>1.1912599369402561</v>
      </c>
      <c r="BM33" s="651">
        <v>10.063058651768156</v>
      </c>
      <c r="BN33" s="651">
        <v>15.996945994911032</v>
      </c>
      <c r="BO33" s="651">
        <v>31.428659273739534</v>
      </c>
      <c r="BP33" s="655">
        <v>0.66585040885517566</v>
      </c>
      <c r="BQ33" s="652"/>
      <c r="BR33" s="652"/>
      <c r="BS33" s="656"/>
      <c r="BT33" s="657">
        <v>39.376998901367195</v>
      </c>
      <c r="BU33" s="658">
        <v>0.8004741627289933</v>
      </c>
      <c r="BV33" s="656"/>
      <c r="BW33" s="659" t="s">
        <v>1200</v>
      </c>
    </row>
    <row r="34" spans="1:77">
      <c r="A34" s="435" t="s">
        <v>313</v>
      </c>
      <c r="B34" s="435" t="s">
        <v>28</v>
      </c>
      <c r="C34" s="1554">
        <f>AVERAGE(BR56:BR59)</f>
        <v>0.44569740830550181</v>
      </c>
      <c r="D34" s="782">
        <f>STDEV(BR56:BR59)</f>
        <v>0.60465603876818153</v>
      </c>
      <c r="E34" s="1554">
        <v>1.2093120775363631</v>
      </c>
      <c r="F34" s="1555">
        <f>AVERAGE(BR61:BR65)</f>
        <v>2.6152547658002887</v>
      </c>
      <c r="G34" s="405">
        <f>STDEV(BR61:BR65)</f>
        <v>5.0384087896628582</v>
      </c>
      <c r="H34" s="1555">
        <v>10.076817579325716</v>
      </c>
      <c r="I34" s="1453">
        <f>AVERAGE(BR67:BR72)</f>
        <v>146.65334719159316</v>
      </c>
      <c r="J34" s="434">
        <f>STDEV(BR67:BR72)</f>
        <v>64.841018094080923</v>
      </c>
      <c r="K34" s="1453">
        <v>129.68203618816185</v>
      </c>
      <c r="L34" s="1323">
        <v>3.0391219623731249E-3</v>
      </c>
      <c r="M34" s="571">
        <v>4.3364651760733645E-3</v>
      </c>
      <c r="N34" s="862">
        <v>8.672930352146729E-3</v>
      </c>
      <c r="O34" s="721">
        <v>1.2E-2</v>
      </c>
      <c r="P34" s="721">
        <v>7.5</v>
      </c>
      <c r="Q34" s="778">
        <v>0.44574751499999998</v>
      </c>
      <c r="R34" s="721">
        <f t="shared" si="2"/>
        <v>0.19576812542392125</v>
      </c>
      <c r="S34" s="1355">
        <f>O34*(((1-(2*C47))/(1-C47))^P34)</f>
        <v>1.1227510645775061E-8</v>
      </c>
      <c r="T34" s="1355">
        <f>O34*(((1-(2*C46))/(1-C46))^P34)</f>
        <v>2.137761050538469E-7</v>
      </c>
      <c r="U34" s="1355">
        <v>4.7284646988572473E-8</v>
      </c>
      <c r="V34" s="1355">
        <v>1.5526394741949937E-7</v>
      </c>
      <c r="W34" s="1356">
        <v>5.8512157634347535E-8</v>
      </c>
      <c r="X34" s="721">
        <f t="shared" si="0"/>
        <v>51940.008457133248</v>
      </c>
      <c r="Y34" s="721">
        <f t="shared" si="1"/>
        <v>74112.207640208318</v>
      </c>
      <c r="Z34" s="573">
        <f>AVERAGE(BR56,0.06,BR58,0.15)/F34</f>
        <v>0.10528561414111104</v>
      </c>
      <c r="AA34" s="721"/>
      <c r="AB34" s="868">
        <v>0.17042217612367674</v>
      </c>
      <c r="AC34" s="571">
        <v>0.40156335956156175</v>
      </c>
      <c r="AD34" s="909">
        <v>0.8031267191231235</v>
      </c>
      <c r="AE34" s="570"/>
      <c r="AF34" s="570"/>
      <c r="AG34" s="912">
        <v>1.7832901982002679E-2</v>
      </c>
      <c r="AH34" s="909">
        <v>3.5249047306676995E-2</v>
      </c>
      <c r="AI34" s="904">
        <v>7.049809461335399E-2</v>
      </c>
      <c r="AJ34" s="435" t="s">
        <v>28</v>
      </c>
      <c r="AL34" s="628" t="s">
        <v>1201</v>
      </c>
      <c r="AM34" s="629"/>
      <c r="AN34" s="629">
        <v>180.43449146386232</v>
      </c>
      <c r="AO34" s="629"/>
      <c r="AP34" s="630" t="s">
        <v>1202</v>
      </c>
      <c r="AQ34" s="629">
        <v>441.1885261484307</v>
      </c>
      <c r="AR34" s="631">
        <v>459</v>
      </c>
      <c r="AS34" s="630" t="s">
        <v>1203</v>
      </c>
      <c r="AT34" s="629">
        <v>403.86041036875724</v>
      </c>
      <c r="AU34" s="629"/>
      <c r="AV34" s="629"/>
      <c r="AW34" s="629">
        <v>477.50598295650235</v>
      </c>
      <c r="AX34" s="629">
        <v>397.15337880965706</v>
      </c>
      <c r="AY34" s="629">
        <v>364.12340570232675</v>
      </c>
      <c r="AZ34" s="629">
        <v>461.2864663540629</v>
      </c>
      <c r="BA34" s="629">
        <v>249.72144020033269</v>
      </c>
      <c r="BB34" s="629">
        <v>417.55877994473605</v>
      </c>
      <c r="BC34" s="629">
        <v>366.07141153267582</v>
      </c>
      <c r="BD34" s="632">
        <v>4.5053357682341743E-3</v>
      </c>
      <c r="BE34" s="633">
        <v>1.134825359359148</v>
      </c>
      <c r="BF34" s="633">
        <v>1.6716089541167638</v>
      </c>
      <c r="BG34" s="629"/>
      <c r="BH34" s="633">
        <v>4.8339750179271403</v>
      </c>
      <c r="BI34" s="629"/>
      <c r="BJ34" s="629"/>
      <c r="BK34" s="629">
        <v>366.59980035278375</v>
      </c>
      <c r="BL34" s="629">
        <v>45.531863945386476</v>
      </c>
      <c r="BM34" s="660">
        <v>3.0209320085787133E-3</v>
      </c>
      <c r="BN34" s="632">
        <v>3.9759310515079742E-2</v>
      </c>
      <c r="BO34" s="633">
        <v>3.0831358866620597</v>
      </c>
      <c r="BP34" s="629">
        <v>22.177532201989013</v>
      </c>
      <c r="BQ34" s="629"/>
      <c r="BR34" s="629"/>
      <c r="BS34" s="634"/>
      <c r="BT34" s="635">
        <v>44.130002975463896</v>
      </c>
      <c r="BU34" s="636">
        <v>2.1066532286937587</v>
      </c>
      <c r="BV34" s="634"/>
      <c r="BW34" s="634" t="s">
        <v>1204</v>
      </c>
    </row>
    <row r="35" spans="1:77" ht="17" thickBot="1">
      <c r="A35" s="306" t="s">
        <v>1395</v>
      </c>
      <c r="B35" s="306" t="s">
        <v>6</v>
      </c>
      <c r="L35" s="1313">
        <f>K40/E40</f>
        <v>1.2922604714196568</v>
      </c>
      <c r="M35" s="1311">
        <f>L35*SQRT((L40/K40)^2 + (F40/E40)^2)</f>
        <v>1.8841297297073706E-2</v>
      </c>
      <c r="N35" s="1315">
        <f>2*M35</f>
        <v>3.7682594594147412E-2</v>
      </c>
      <c r="AB35" s="1313">
        <f>K40/H40</f>
        <v>1.2201071574961453</v>
      </c>
      <c r="AC35" s="386" cm="1">
        <f t="array" ref="AC35:AC36">AB35:AB36*SQRT((L40:L41/K40:K41)^2 + (I40:I41/H40:H41)^2)</f>
        <v>1.3831780233834372E-2</v>
      </c>
      <c r="AD35" s="1311" cm="1">
        <f t="array" ref="AD35:AD36">2*AC35:AC36</f>
        <v>2.7663560467668744E-2</v>
      </c>
      <c r="AE35"/>
      <c r="AF35"/>
      <c r="AG35" s="1313">
        <f>H40/E40</f>
        <v>1.0591368663647394</v>
      </c>
      <c r="AH35" s="1311">
        <f>AG35*SQRT((F40/E40)^2 + (I40/H40)^2)</f>
        <v>1.3566154834455666E-2</v>
      </c>
      <c r="AI35" s="1315">
        <f>2*AH35</f>
        <v>2.7132309668911333E-2</v>
      </c>
      <c r="AJ35" s="1311"/>
      <c r="AL35" s="628" t="s">
        <v>1205</v>
      </c>
      <c r="AM35" s="629"/>
      <c r="AN35" s="629">
        <v>186.63809021828914</v>
      </c>
      <c r="AO35" s="629"/>
      <c r="AP35" s="630" t="s">
        <v>1206</v>
      </c>
      <c r="AQ35" s="629">
        <v>477.30273941353829</v>
      </c>
      <c r="AR35" s="248">
        <v>459</v>
      </c>
      <c r="AS35" s="630" t="s">
        <v>1207</v>
      </c>
      <c r="AT35" s="629">
        <v>473.40643013375831</v>
      </c>
      <c r="AU35" s="629"/>
      <c r="AV35" s="629"/>
      <c r="AW35" s="629">
        <v>484.12636607743212</v>
      </c>
      <c r="AX35" s="629">
        <v>410.83908614143905</v>
      </c>
      <c r="AY35" s="629">
        <v>390.48608982189057</v>
      </c>
      <c r="AZ35" s="629">
        <v>504.12398059062372</v>
      </c>
      <c r="BA35" s="629">
        <v>233.34892926008462</v>
      </c>
      <c r="BB35" s="629">
        <v>419.00674707171942</v>
      </c>
      <c r="BC35" s="629">
        <v>373.38699687144424</v>
      </c>
      <c r="BD35" s="632">
        <v>5.4081413166506605E-3</v>
      </c>
      <c r="BE35" s="633">
        <v>0.93893497199460374</v>
      </c>
      <c r="BF35" s="633">
        <v>1.4419943050300041</v>
      </c>
      <c r="BG35" s="629"/>
      <c r="BH35" s="633">
        <v>4.7429179038486886</v>
      </c>
      <c r="BI35" s="629"/>
      <c r="BJ35" s="629"/>
      <c r="BK35" s="629">
        <v>376.1637181039244</v>
      </c>
      <c r="BL35" s="629">
        <v>40.507455359518978</v>
      </c>
      <c r="BM35" s="632">
        <v>2.1906978551017999E-2</v>
      </c>
      <c r="BN35" s="632">
        <v>2.3375909017575809E-2</v>
      </c>
      <c r="BO35" s="633">
        <v>4.0954332939684477</v>
      </c>
      <c r="BP35" s="629">
        <v>17.964218726613694</v>
      </c>
      <c r="BQ35" s="629"/>
      <c r="BR35" s="629"/>
      <c r="BS35" s="634"/>
      <c r="BT35" s="635">
        <v>41.413999557495096</v>
      </c>
      <c r="BU35" s="636">
        <v>1.8511855802391866</v>
      </c>
      <c r="BV35" s="634"/>
      <c r="BW35" s="634" t="s">
        <v>1208</v>
      </c>
    </row>
    <row r="36" spans="1:77">
      <c r="A36" s="306" t="s">
        <v>1395</v>
      </c>
      <c r="B36" t="s">
        <v>8</v>
      </c>
      <c r="L36" s="1314">
        <f>K41/E41</f>
        <v>2.6581992221637334</v>
      </c>
      <c r="M36" s="1312">
        <f>L36*SQRT((L41/K41)^2 + (F41/E41)^2)</f>
        <v>0.29175724651859608</v>
      </c>
      <c r="N36" s="1316">
        <f>2*M36</f>
        <v>0.58351449303719216</v>
      </c>
      <c r="AB36" s="1314">
        <f>K41/H41</f>
        <v>23.896009923506298</v>
      </c>
      <c r="AC36" s="1312">
        <v>5.1293470196630242</v>
      </c>
      <c r="AD36" s="1316">
        <v>10.258694039326048</v>
      </c>
      <c r="AE36"/>
      <c r="AF36"/>
      <c r="AG36" s="1312">
        <f>H41/E41</f>
        <v>0.11124029621149788</v>
      </c>
      <c r="AH36" s="1312">
        <f>AG36*SQRT((F41/E41)^2 + (I41/H41)^2)</f>
        <v>2.6695525633047126E-2</v>
      </c>
      <c r="AI36" s="1529">
        <f>2*AH36</f>
        <v>5.3391051266094253E-2</v>
      </c>
      <c r="AJ36" s="1311"/>
      <c r="AL36" s="241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</row>
    <row r="37" spans="1:77">
      <c r="AL37" s="241" t="s">
        <v>95</v>
      </c>
      <c r="AM37" s="270">
        <v>450</v>
      </c>
      <c r="AN37" s="270">
        <v>408</v>
      </c>
      <c r="AO37" s="270">
        <v>444</v>
      </c>
      <c r="AP37" s="270">
        <v>458</v>
      </c>
      <c r="AQ37" s="270">
        <v>410</v>
      </c>
      <c r="AR37" s="270">
        <v>458.7</v>
      </c>
      <c r="AS37" s="270">
        <v>458.7</v>
      </c>
      <c r="AT37" s="270">
        <v>441</v>
      </c>
      <c r="AU37" s="270">
        <v>460</v>
      </c>
      <c r="AV37" s="270">
        <v>460</v>
      </c>
      <c r="AW37" s="270">
        <v>433</v>
      </c>
      <c r="AX37" s="270">
        <v>433</v>
      </c>
      <c r="AY37" s="270">
        <v>447</v>
      </c>
      <c r="AZ37" s="270">
        <v>447</v>
      </c>
      <c r="BA37" s="270">
        <v>325</v>
      </c>
      <c r="BB37" s="270">
        <v>417</v>
      </c>
      <c r="BC37" s="270">
        <v>417</v>
      </c>
      <c r="BD37" s="269" t="s">
        <v>94</v>
      </c>
      <c r="BE37" s="269">
        <v>1.29</v>
      </c>
      <c r="BF37" s="269">
        <v>1.05</v>
      </c>
      <c r="BG37" s="270">
        <v>251</v>
      </c>
      <c r="BH37" s="270" t="s">
        <v>94</v>
      </c>
      <c r="BI37" s="270">
        <v>430</v>
      </c>
      <c r="BJ37" s="270">
        <v>396</v>
      </c>
      <c r="BK37" s="270">
        <v>444</v>
      </c>
      <c r="BL37" s="270">
        <v>49</v>
      </c>
      <c r="BM37" s="269" t="s">
        <v>94</v>
      </c>
      <c r="BN37" s="269" t="s">
        <v>94</v>
      </c>
      <c r="BO37" s="269">
        <v>3.15</v>
      </c>
      <c r="BP37" s="269">
        <v>22.1</v>
      </c>
      <c r="BQ37" s="270">
        <v>426</v>
      </c>
      <c r="BR37" s="270">
        <v>357.7</v>
      </c>
      <c r="BS37" s="236"/>
      <c r="BT37" s="236"/>
      <c r="BU37" s="236"/>
      <c r="BV37" s="236"/>
      <c r="BW37" s="236"/>
    </row>
    <row r="38" spans="1:77" ht="17" thickBot="1">
      <c r="D38" s="397" t="s">
        <v>1332</v>
      </c>
      <c r="E38" s="742" t="s">
        <v>1333</v>
      </c>
      <c r="F38" s="743" t="s">
        <v>1334</v>
      </c>
      <c r="G38" s="386"/>
      <c r="H38" s="386"/>
      <c r="I38" s="306"/>
      <c r="J38" s="382"/>
      <c r="K38" s="382"/>
      <c r="L38" s="386"/>
      <c r="M38" s="386"/>
      <c r="N38" s="386"/>
      <c r="O38" s="386"/>
      <c r="Q38" s="386"/>
      <c r="R38" s="386"/>
      <c r="S38" s="386"/>
      <c r="AL38" s="241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69"/>
      <c r="BE38" s="269"/>
      <c r="BF38" s="269"/>
      <c r="BG38" s="270"/>
      <c r="BH38" s="270"/>
      <c r="BI38" s="270"/>
      <c r="BJ38" s="270"/>
      <c r="BK38" s="270"/>
      <c r="BL38" s="270"/>
      <c r="BM38" s="269"/>
      <c r="BN38" s="269"/>
      <c r="BO38" s="269"/>
      <c r="BP38" s="269"/>
      <c r="BQ38" s="270"/>
      <c r="BR38" s="270"/>
      <c r="BS38" s="236"/>
      <c r="BT38" s="236"/>
      <c r="BU38" s="236"/>
      <c r="BV38" s="236"/>
      <c r="BW38" s="236"/>
    </row>
    <row r="39" spans="1:77" ht="51">
      <c r="D39" s="392"/>
      <c r="E39" s="746" t="s">
        <v>390</v>
      </c>
      <c r="F39" s="1349" t="s">
        <v>1346</v>
      </c>
      <c r="G39" s="1423" t="s">
        <v>1416</v>
      </c>
      <c r="H39" s="746" t="s">
        <v>389</v>
      </c>
      <c r="I39" s="757" t="s">
        <v>1347</v>
      </c>
      <c r="J39" s="1423" t="s">
        <v>1417</v>
      </c>
      <c r="K39" s="746" t="s">
        <v>388</v>
      </c>
      <c r="L39" s="757" t="s">
        <v>1348</v>
      </c>
      <c r="M39" s="1422" t="s">
        <v>1418</v>
      </c>
      <c r="Q39" s="386"/>
      <c r="S39" s="727" t="s">
        <v>1332</v>
      </c>
      <c r="T39" s="391" t="s">
        <v>1335</v>
      </c>
      <c r="U39" s="391" t="s">
        <v>1336</v>
      </c>
      <c r="V39" s="390" t="s">
        <v>816</v>
      </c>
      <c r="AN39" s="241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69"/>
      <c r="BG39" s="269"/>
      <c r="BH39" s="269"/>
      <c r="BI39" s="270"/>
      <c r="BJ39" s="270"/>
      <c r="BK39" s="270"/>
      <c r="BL39" s="270"/>
      <c r="BM39" s="270"/>
      <c r="BN39" s="270"/>
      <c r="BO39" s="269"/>
      <c r="BP39" s="269"/>
      <c r="BQ39" s="269"/>
      <c r="BR39" s="269"/>
      <c r="BS39" s="270"/>
      <c r="BT39" s="270"/>
      <c r="BU39" s="236"/>
      <c r="BV39" s="236"/>
      <c r="BW39" s="236"/>
      <c r="BX39" s="236"/>
      <c r="BY39" s="236"/>
    </row>
    <row r="40" spans="1:77" ht="35" thickBot="1">
      <c r="D40" s="385" t="s">
        <v>6</v>
      </c>
      <c r="E40" s="1413">
        <v>58.046888888888894</v>
      </c>
      <c r="F40" s="382">
        <v>0.64654590658001687</v>
      </c>
      <c r="G40" s="1425" cm="1">
        <f t="array" ref="G40:G42">2*F40:F42</f>
        <v>1.2930918131600337</v>
      </c>
      <c r="H40" s="1413">
        <v>61.479599999999991</v>
      </c>
      <c r="I40" s="382">
        <v>0.38883078296062984</v>
      </c>
      <c r="J40" s="1425" cm="1">
        <f t="array" ref="J40:J42">2*I40:I42</f>
        <v>0.77766156592125968</v>
      </c>
      <c r="K40" s="1413">
        <v>75.011700000000005</v>
      </c>
      <c r="L40" s="382">
        <v>0.70573598015420069</v>
      </c>
      <c r="M40" s="1414" cm="1">
        <f t="array" ref="M40:M42">2*L40:L42</f>
        <v>1.4114719603084014</v>
      </c>
      <c r="Q40" s="386"/>
      <c r="S40" s="389"/>
      <c r="T40" s="728" t="s">
        <v>1337</v>
      </c>
      <c r="U40" s="728" t="s">
        <v>1338</v>
      </c>
      <c r="V40" s="729" t="s">
        <v>1339</v>
      </c>
    </row>
    <row r="41" spans="1:77">
      <c r="D41" s="385" t="s">
        <v>8</v>
      </c>
      <c r="E41" s="1413">
        <v>8.69648888888889</v>
      </c>
      <c r="F41" s="382">
        <v>0.94391151390533024</v>
      </c>
      <c r="G41" s="1425">
        <v>1.8878230278106605</v>
      </c>
      <c r="H41" s="1413">
        <v>0.96740000000000015</v>
      </c>
      <c r="I41" s="382">
        <v>0.20705511880226976</v>
      </c>
      <c r="J41" s="1425">
        <v>0.41411023760453952</v>
      </c>
      <c r="K41" s="1413">
        <v>23.116999999999997</v>
      </c>
      <c r="L41" s="382">
        <v>0.37696111763751711</v>
      </c>
      <c r="M41" s="1414">
        <v>0.75392223527503421</v>
      </c>
      <c r="Q41" s="306"/>
      <c r="R41" s="306"/>
      <c r="S41" s="306"/>
      <c r="T41" s="306"/>
      <c r="U41" s="306"/>
    </row>
    <row r="42" spans="1:77" ht="17" thickBot="1">
      <c r="D42" s="384" t="s">
        <v>380</v>
      </c>
      <c r="E42" s="1415">
        <v>30.619866666666656</v>
      </c>
      <c r="F42" s="383">
        <v>0.72515214119438598</v>
      </c>
      <c r="G42" s="1426">
        <v>1.450304282388772</v>
      </c>
      <c r="H42" s="1415">
        <v>36.244399999999999</v>
      </c>
      <c r="I42" s="383">
        <v>0.36789769109238979</v>
      </c>
      <c r="J42" s="1426">
        <v>0.73579538218477958</v>
      </c>
      <c r="K42" s="1351">
        <v>1.4850000000000006E-2</v>
      </c>
      <c r="L42" s="1352">
        <v>5.9672350998466583E-3</v>
      </c>
      <c r="M42" s="1350">
        <v>1.1934470199693317E-2</v>
      </c>
      <c r="Q42" s="306"/>
      <c r="R42" s="306"/>
      <c r="S42" s="306"/>
      <c r="T42" s="306"/>
      <c r="U42" s="306"/>
      <c r="AL42" s="718" t="s">
        <v>313</v>
      </c>
      <c r="AM42" s="73" t="s">
        <v>0</v>
      </c>
      <c r="AN42" s="74"/>
      <c r="AO42" s="74"/>
      <c r="AP42" s="173"/>
      <c r="AQ42" s="173"/>
      <c r="AR42" s="74"/>
      <c r="AS42" s="74"/>
      <c r="AT42" s="74"/>
      <c r="AU42" s="74"/>
      <c r="AV42" s="74"/>
      <c r="AW42" s="74"/>
      <c r="AX42" s="74"/>
      <c r="AY42" s="173"/>
      <c r="AZ42" s="173"/>
      <c r="BA42" s="173"/>
      <c r="BB42" s="173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</row>
    <row r="43" spans="1:77" ht="17" thickBot="1">
      <c r="D43" s="306" t="s">
        <v>379</v>
      </c>
      <c r="E43" s="382">
        <f>SUM(E40:E42)</f>
        <v>97.363244444444433</v>
      </c>
      <c r="F43" s="306"/>
      <c r="G43" s="306"/>
      <c r="H43" s="382">
        <f>SUM(H40:H42)</f>
        <v>98.691399999999987</v>
      </c>
      <c r="I43" s="306"/>
      <c r="J43" s="306"/>
      <c r="K43" s="382">
        <f>SUM(K40:K42)</f>
        <v>98.143550000000005</v>
      </c>
      <c r="L43" s="306"/>
      <c r="M43" s="306"/>
      <c r="Q43" s="306"/>
      <c r="R43" s="306"/>
      <c r="S43" s="306"/>
      <c r="T43" s="306"/>
      <c r="U43" s="306"/>
      <c r="AL43" s="176"/>
      <c r="AM43" s="74" t="s">
        <v>1166</v>
      </c>
      <c r="AN43" s="74"/>
      <c r="AO43" s="74"/>
      <c r="AP43" s="74"/>
      <c r="AQ43" s="173"/>
      <c r="AR43" s="74"/>
      <c r="AS43" s="74"/>
      <c r="AT43" s="74"/>
      <c r="AU43" s="74"/>
      <c r="AV43" s="75"/>
      <c r="AX43" s="76">
        <v>44552.539722222224</v>
      </c>
      <c r="AY43" s="75"/>
      <c r="AZ43" s="76"/>
      <c r="BA43" s="173"/>
      <c r="BB43" s="173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</row>
    <row r="44" spans="1:77">
      <c r="AL44" s="79" t="s">
        <v>2</v>
      </c>
      <c r="AM44" s="77" t="s">
        <v>3</v>
      </c>
      <c r="AN44" s="77" t="s">
        <v>4</v>
      </c>
      <c r="AO44" s="77" t="s">
        <v>5</v>
      </c>
      <c r="AP44" s="77" t="s">
        <v>6</v>
      </c>
      <c r="AQ44" s="77" t="s">
        <v>7</v>
      </c>
      <c r="AR44" s="78" t="s">
        <v>8</v>
      </c>
      <c r="AS44" s="77" t="s">
        <v>8</v>
      </c>
      <c r="AT44" s="77" t="s">
        <v>9</v>
      </c>
      <c r="AU44" s="77" t="s">
        <v>10</v>
      </c>
      <c r="AV44" s="77" t="s">
        <v>10</v>
      </c>
      <c r="AW44" s="77" t="s">
        <v>11</v>
      </c>
      <c r="AX44" s="77" t="s">
        <v>11</v>
      </c>
      <c r="AY44" s="77" t="s">
        <v>12</v>
      </c>
      <c r="AZ44" s="77" t="s">
        <v>12</v>
      </c>
      <c r="BA44" s="77" t="s">
        <v>13</v>
      </c>
      <c r="BB44" s="77" t="s">
        <v>14</v>
      </c>
      <c r="BC44" s="77" t="s">
        <v>14</v>
      </c>
      <c r="BD44" s="77" t="s">
        <v>15</v>
      </c>
      <c r="BE44" s="77" t="s">
        <v>16</v>
      </c>
      <c r="BF44" s="77" t="s">
        <v>17</v>
      </c>
      <c r="BG44" s="77" t="s">
        <v>18</v>
      </c>
      <c r="BH44" s="77" t="s">
        <v>17</v>
      </c>
      <c r="BI44" s="77" t="s">
        <v>19</v>
      </c>
      <c r="BJ44" s="77" t="s">
        <v>20</v>
      </c>
      <c r="BK44" s="77" t="s">
        <v>21</v>
      </c>
      <c r="BL44" s="77" t="s">
        <v>22</v>
      </c>
      <c r="BM44" s="77" t="s">
        <v>23</v>
      </c>
      <c r="BN44" s="77" t="s">
        <v>24</v>
      </c>
      <c r="BO44" s="77" t="s">
        <v>25</v>
      </c>
      <c r="BP44" s="77" t="s">
        <v>26</v>
      </c>
      <c r="BQ44" s="77" t="s">
        <v>27</v>
      </c>
      <c r="BR44" s="77" t="s">
        <v>28</v>
      </c>
      <c r="BS44" s="74"/>
      <c r="BT44" s="77" t="s">
        <v>29</v>
      </c>
      <c r="BU44" s="77" t="s">
        <v>30</v>
      </c>
      <c r="BV44" s="77"/>
      <c r="BW44" s="79" t="s">
        <v>31</v>
      </c>
    </row>
    <row r="45" spans="1:77">
      <c r="B45" s="1399" t="s">
        <v>483</v>
      </c>
      <c r="C45" s="1404">
        <f>(E42/32.06)/((E42/32.06)+(E41/58.69)+(E40/55.847))</f>
        <v>0.44574751479199387</v>
      </c>
      <c r="D45" s="1399" t="s">
        <v>1413</v>
      </c>
      <c r="E45" s="1403">
        <f>2*(C45^2)*SQRT(((((F42*32.06)/ E42^2)^2)*((E40/55.845)^2 + (E41/58.693)^2)^2) + (((F40/55.845)^2 + (F41/58.693)^2)*(32.06/E42)^2))</f>
        <v>1.3636957608240801E-2</v>
      </c>
      <c r="AL45" s="79" t="s">
        <v>32</v>
      </c>
      <c r="AM45" s="74">
        <v>51</v>
      </c>
      <c r="AN45" s="74">
        <v>53</v>
      </c>
      <c r="AO45" s="74">
        <v>55</v>
      </c>
      <c r="AP45" s="74">
        <v>57</v>
      </c>
      <c r="AQ45" s="74">
        <v>59</v>
      </c>
      <c r="AR45" s="80">
        <v>61</v>
      </c>
      <c r="AS45" s="74">
        <v>62</v>
      </c>
      <c r="AT45" s="74">
        <v>63</v>
      </c>
      <c r="AU45" s="74">
        <v>66</v>
      </c>
      <c r="AV45" s="74">
        <v>67</v>
      </c>
      <c r="AW45" s="74">
        <v>69</v>
      </c>
      <c r="AX45" s="74">
        <v>71</v>
      </c>
      <c r="AY45" s="74">
        <v>72</v>
      </c>
      <c r="AZ45" s="74">
        <v>73</v>
      </c>
      <c r="BA45" s="74">
        <v>75</v>
      </c>
      <c r="BB45" s="74">
        <v>95</v>
      </c>
      <c r="BC45" s="74">
        <v>97</v>
      </c>
      <c r="BD45" s="74">
        <v>101</v>
      </c>
      <c r="BE45" s="74">
        <v>103</v>
      </c>
      <c r="BF45" s="74">
        <v>105</v>
      </c>
      <c r="BG45" s="74">
        <v>107</v>
      </c>
      <c r="BH45" s="74">
        <v>108</v>
      </c>
      <c r="BI45" s="74">
        <v>118</v>
      </c>
      <c r="BJ45" s="74">
        <v>121</v>
      </c>
      <c r="BK45" s="74">
        <v>184</v>
      </c>
      <c r="BL45" s="74">
        <v>185</v>
      </c>
      <c r="BM45" s="74">
        <v>189</v>
      </c>
      <c r="BN45" s="74">
        <v>193</v>
      </c>
      <c r="BO45" s="74">
        <v>195</v>
      </c>
      <c r="BP45" s="74">
        <v>197</v>
      </c>
      <c r="BQ45" s="74">
        <v>208</v>
      </c>
      <c r="BR45" s="74">
        <v>209</v>
      </c>
      <c r="BS45" s="74"/>
      <c r="BT45" s="77" t="s">
        <v>33</v>
      </c>
      <c r="BU45" s="77" t="s">
        <v>34</v>
      </c>
      <c r="BV45" s="74"/>
      <c r="BW45" s="74"/>
    </row>
    <row r="46" spans="1:77">
      <c r="B46" s="1399" t="s">
        <v>1404</v>
      </c>
      <c r="C46" s="1404">
        <f>((E42-F42)/32.06)/(((E42-F42)/32.06)+((E41+F41)/58.69)+((E40+F40)/55.847))</f>
        <v>0.43416956985967009</v>
      </c>
      <c r="D46" s="1401" t="s">
        <v>1414</v>
      </c>
      <c r="E46" s="1403">
        <f>C45-C46</f>
        <v>1.157794493232378E-2</v>
      </c>
      <c r="AL46" s="79"/>
      <c r="AM46" s="77" t="s">
        <v>35</v>
      </c>
      <c r="AN46" s="77" t="s">
        <v>35</v>
      </c>
      <c r="AO46" s="77" t="s">
        <v>35</v>
      </c>
      <c r="AP46" s="77" t="s">
        <v>35</v>
      </c>
      <c r="AQ46" s="77" t="s">
        <v>35</v>
      </c>
      <c r="AR46" s="81" t="s">
        <v>35</v>
      </c>
      <c r="AS46" s="77" t="s">
        <v>35</v>
      </c>
      <c r="AT46" s="77" t="s">
        <v>35</v>
      </c>
      <c r="AU46" s="77" t="s">
        <v>35</v>
      </c>
      <c r="AV46" s="77" t="s">
        <v>35</v>
      </c>
      <c r="AW46" s="77" t="s">
        <v>35</v>
      </c>
      <c r="AX46" s="77" t="s">
        <v>35</v>
      </c>
      <c r="AY46" s="77" t="s">
        <v>35</v>
      </c>
      <c r="AZ46" s="77" t="s">
        <v>35</v>
      </c>
      <c r="BA46" s="77" t="s">
        <v>35</v>
      </c>
      <c r="BB46" s="77" t="s">
        <v>35</v>
      </c>
      <c r="BC46" s="77" t="s">
        <v>35</v>
      </c>
      <c r="BD46" s="77" t="s">
        <v>35</v>
      </c>
      <c r="BE46" s="77" t="s">
        <v>35</v>
      </c>
      <c r="BF46" s="77" t="s">
        <v>35</v>
      </c>
      <c r="BG46" s="77" t="s">
        <v>35</v>
      </c>
      <c r="BH46" s="77" t="s">
        <v>35</v>
      </c>
      <c r="BI46" s="77" t="s">
        <v>35</v>
      </c>
      <c r="BJ46" s="77" t="s">
        <v>35</v>
      </c>
      <c r="BK46" s="77" t="s">
        <v>35</v>
      </c>
      <c r="BL46" s="77" t="s">
        <v>35</v>
      </c>
      <c r="BM46" s="77" t="s">
        <v>35</v>
      </c>
      <c r="BN46" s="77" t="s">
        <v>35</v>
      </c>
      <c r="BO46" s="77" t="s">
        <v>35</v>
      </c>
      <c r="BP46" s="77" t="s">
        <v>35</v>
      </c>
      <c r="BQ46" s="77" t="s">
        <v>35</v>
      </c>
      <c r="BR46" s="77" t="s">
        <v>35</v>
      </c>
      <c r="BS46" s="74"/>
      <c r="BT46" s="74"/>
      <c r="BU46" s="74"/>
      <c r="BV46" s="74"/>
      <c r="BW46" s="74"/>
    </row>
    <row r="47" spans="1:77">
      <c r="B47" s="1399" t="s">
        <v>1403</v>
      </c>
      <c r="C47" s="1404">
        <f>((E42+F42)/32.06)/(((E42+F42)/32.06)+((E41-F41)/58.69)+((E40-F40)/55.847))</f>
        <v>0.45738007242883894</v>
      </c>
      <c r="D47" s="1401" t="s">
        <v>1415</v>
      </c>
      <c r="E47" s="1403">
        <f>C47-C45</f>
        <v>1.1632557636845064E-2</v>
      </c>
      <c r="AL47" s="79"/>
      <c r="AM47" s="173"/>
      <c r="AN47" s="173"/>
      <c r="AO47" s="173"/>
      <c r="AP47" s="173"/>
      <c r="AQ47" s="173"/>
      <c r="AR47" s="174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</row>
    <row r="48" spans="1:77">
      <c r="AL48" s="79" t="s">
        <v>36</v>
      </c>
      <c r="AM48" s="82">
        <v>54.3</v>
      </c>
      <c r="AN48" s="82">
        <v>2646</v>
      </c>
      <c r="AO48" s="82">
        <v>1933</v>
      </c>
      <c r="AP48" s="83">
        <v>184300</v>
      </c>
      <c r="AQ48" s="83">
        <v>506</v>
      </c>
      <c r="AR48" s="84">
        <v>10770</v>
      </c>
      <c r="AS48" s="83">
        <v>10770</v>
      </c>
      <c r="AT48" s="83">
        <v>131</v>
      </c>
      <c r="AU48" s="83">
        <v>323</v>
      </c>
      <c r="AV48" s="83">
        <v>323</v>
      </c>
      <c r="AW48" s="82">
        <v>9.7100000000000009</v>
      </c>
      <c r="AX48" s="82">
        <v>9.7100000000000009</v>
      </c>
      <c r="AY48" s="82">
        <v>32.6</v>
      </c>
      <c r="AZ48" s="82">
        <v>32.6</v>
      </c>
      <c r="BA48" s="82">
        <v>1.81</v>
      </c>
      <c r="BB48" s="82">
        <v>0.92800000000000005</v>
      </c>
      <c r="BC48" s="82">
        <v>0.92800000000000005</v>
      </c>
      <c r="BD48" s="82">
        <v>0.68300000000000005</v>
      </c>
      <c r="BE48" s="82">
        <v>0.14000000000000001</v>
      </c>
      <c r="BF48" s="82">
        <v>0.55600000000000005</v>
      </c>
      <c r="BG48" s="82">
        <v>0.19700000000000001</v>
      </c>
      <c r="BH48" s="82">
        <v>0.55600000000000005</v>
      </c>
      <c r="BI48" s="82">
        <v>1.68</v>
      </c>
      <c r="BJ48" s="82">
        <v>0.13300000000000001</v>
      </c>
      <c r="BK48" s="82">
        <v>9.0300000000000005E-2</v>
      </c>
      <c r="BL48" s="82">
        <v>3.95E-2</v>
      </c>
      <c r="BM48" s="82">
        <v>0.50600000000000001</v>
      </c>
      <c r="BN48" s="82">
        <v>0.48</v>
      </c>
      <c r="BO48" s="82">
        <v>0.98199999999999998</v>
      </c>
      <c r="BP48" s="82">
        <v>0.14799999999999999</v>
      </c>
      <c r="BQ48" s="82">
        <v>2.5299999999999998</v>
      </c>
      <c r="BR48" s="82">
        <v>0.111</v>
      </c>
      <c r="BS48" s="74"/>
      <c r="BT48" s="74"/>
      <c r="BU48" s="74"/>
      <c r="BV48" s="74"/>
      <c r="BW48" s="74"/>
    </row>
    <row r="49" spans="38:75">
      <c r="AL49" s="79" t="s">
        <v>1351</v>
      </c>
      <c r="AM49" s="82">
        <v>1.8785387569523831E-2</v>
      </c>
      <c r="AN49" s="82">
        <v>0.52519522296254695</v>
      </c>
      <c r="AO49" s="82">
        <v>0.19625174229030748</v>
      </c>
      <c r="AP49" s="82">
        <v>25.380947854213147</v>
      </c>
      <c r="AQ49" s="82">
        <v>0.29272841040422609</v>
      </c>
      <c r="AR49" s="85">
        <v>3.3416914743260779</v>
      </c>
      <c r="AS49" s="82">
        <v>14.037579909384952</v>
      </c>
      <c r="AT49" s="82">
        <v>3.7608816101976021E-2</v>
      </c>
      <c r="AU49" s="82">
        <v>0.13521150677202151</v>
      </c>
      <c r="AV49" s="82">
        <v>0.46236663314168885</v>
      </c>
      <c r="AW49" s="82">
        <v>1.679746916990842E-2</v>
      </c>
      <c r="AX49" s="82">
        <v>2.862383505866755E-2</v>
      </c>
      <c r="AY49" s="82">
        <v>0.43556352108574192</v>
      </c>
      <c r="AZ49" s="82">
        <v>0.6705854740254622</v>
      </c>
      <c r="BA49" s="82">
        <v>9.6677368646551923E-2</v>
      </c>
      <c r="BB49" s="82">
        <v>2.1594275536915057E-2</v>
      </c>
      <c r="BC49" s="82">
        <v>3.1070955015928409E-2</v>
      </c>
      <c r="BD49" s="82"/>
      <c r="BE49" s="82">
        <v>4.1012781038285793E-3</v>
      </c>
      <c r="BF49" s="82">
        <v>1.4869874479519565E-2</v>
      </c>
      <c r="BG49" s="82">
        <v>1.791664192022702E-2</v>
      </c>
      <c r="BH49" s="82">
        <v>3.6463783480039581E-3</v>
      </c>
      <c r="BI49" s="82">
        <v>3.7116587740464911E-2</v>
      </c>
      <c r="BJ49" s="82">
        <v>3.0593440382839836E-2</v>
      </c>
      <c r="BK49" s="82">
        <v>5.3246132087609484E-3</v>
      </c>
      <c r="BL49" s="82">
        <v>5.6784382270915314E-3</v>
      </c>
      <c r="BM49" s="82"/>
      <c r="BN49" s="82"/>
      <c r="BO49" s="82">
        <v>5.853283657183875E-3</v>
      </c>
      <c r="BP49" s="82">
        <v>1.4146625745774279E-2</v>
      </c>
      <c r="BQ49" s="1392">
        <v>1.0444241185120804E-2</v>
      </c>
      <c r="BR49" s="1393">
        <v>7.1948132036889273E-3</v>
      </c>
      <c r="BS49" s="82"/>
      <c r="BT49" s="82"/>
      <c r="BU49" s="82"/>
      <c r="BV49" s="82"/>
      <c r="BW49" s="82"/>
    </row>
    <row r="50" spans="38:75" ht="17" thickBot="1">
      <c r="AL50" s="79" t="s">
        <v>1352</v>
      </c>
      <c r="AM50" s="82">
        <v>1.8625891643352224E-2</v>
      </c>
      <c r="AN50" s="82">
        <v>0.46631571207664729</v>
      </c>
      <c r="AO50" s="82">
        <v>0.1999868220060862</v>
      </c>
      <c r="AP50" s="82">
        <v>25.081336420278905</v>
      </c>
      <c r="AQ50" s="82">
        <v>0.35851162969223799</v>
      </c>
      <c r="AR50" s="85">
        <v>3.5837304863534216</v>
      </c>
      <c r="AS50" s="82">
        <v>15.693733619098605</v>
      </c>
      <c r="AT50" s="82">
        <v>3.5173527971738214E-2</v>
      </c>
      <c r="AU50" s="82">
        <v>0.13526883605339016</v>
      </c>
      <c r="AV50" s="82">
        <v>0.45396153592535282</v>
      </c>
      <c r="AW50" s="82">
        <v>1.6066927528726235E-2</v>
      </c>
      <c r="AX50" s="82">
        <v>3.1892035891623337E-2</v>
      </c>
      <c r="AY50" s="82">
        <v>0.45361520937446453</v>
      </c>
      <c r="AZ50" s="82">
        <v>0.66143938317315687</v>
      </c>
      <c r="BA50" s="82">
        <v>9.7094247709113082E-2</v>
      </c>
      <c r="BB50" s="82">
        <v>1.8158474853120225E-2</v>
      </c>
      <c r="BC50" s="82">
        <v>3.7558182170158667E-2</v>
      </c>
      <c r="BD50" s="82"/>
      <c r="BE50" s="82">
        <v>3.1344872950999467E-3</v>
      </c>
      <c r="BF50" s="82">
        <v>2.4031768470860592E-2</v>
      </c>
      <c r="BG50" s="82">
        <v>1.5597120401324324E-2</v>
      </c>
      <c r="BH50" s="82">
        <v>4.3448492662014494E-3</v>
      </c>
      <c r="BI50" s="82">
        <v>2.9405931309664356E-2</v>
      </c>
      <c r="BJ50" s="82">
        <v>2.395010647707848E-2</v>
      </c>
      <c r="BK50" s="82">
        <v>4.9738860639583016E-3</v>
      </c>
      <c r="BL50" s="82">
        <v>6.873893151927454E-3</v>
      </c>
      <c r="BM50" s="82"/>
      <c r="BN50" s="82"/>
      <c r="BO50" s="82">
        <v>3.5239604581759551E-3</v>
      </c>
      <c r="BP50" s="82">
        <v>1.442104821103851E-2</v>
      </c>
      <c r="BQ50" s="1393">
        <v>9.3645047927641573E-3</v>
      </c>
      <c r="BR50" s="1393">
        <v>5.9279483474759505E-3</v>
      </c>
      <c r="BS50" s="74"/>
      <c r="BT50" s="74"/>
      <c r="BU50" s="74"/>
      <c r="BV50" s="74"/>
      <c r="BW50" s="74"/>
    </row>
    <row r="51" spans="38:75">
      <c r="AL51" s="280" t="s">
        <v>100</v>
      </c>
      <c r="AM51" s="87">
        <v>452.33652641210676</v>
      </c>
      <c r="AN51" s="87">
        <v>404.38085801657547</v>
      </c>
      <c r="AO51" s="87">
        <v>441.0078925275547</v>
      </c>
      <c r="AP51" s="281"/>
      <c r="AQ51" s="87">
        <v>402.72138373082078</v>
      </c>
      <c r="AR51" s="89">
        <v>459</v>
      </c>
      <c r="AS51" s="282"/>
      <c r="AT51" s="87">
        <v>445.72862145564898</v>
      </c>
      <c r="AU51" s="87">
        <v>453.91652634374674</v>
      </c>
      <c r="AV51" s="87">
        <v>457.85989367079219</v>
      </c>
      <c r="AW51" s="87">
        <v>435.68699918210706</v>
      </c>
      <c r="AX51" s="87">
        <v>431.99736126617887</v>
      </c>
      <c r="AY51" s="87">
        <v>447.22891816229162</v>
      </c>
      <c r="AZ51" s="87">
        <v>447.26823004081604</v>
      </c>
      <c r="BA51" s="87">
        <v>319.65468687719289</v>
      </c>
      <c r="BB51" s="87">
        <v>412.14905980100883</v>
      </c>
      <c r="BC51" s="87">
        <v>419.4595656488209</v>
      </c>
      <c r="BD51" s="88"/>
      <c r="BE51" s="90"/>
      <c r="BF51" s="90"/>
      <c r="BG51" s="87">
        <v>253.96458918387802</v>
      </c>
      <c r="BH51" s="90"/>
      <c r="BI51" s="87">
        <v>430.50483506952651</v>
      </c>
      <c r="BJ51" s="87">
        <v>400.63702312915444</v>
      </c>
      <c r="BK51" s="87">
        <v>444.67551999845944</v>
      </c>
      <c r="BL51" s="87">
        <v>48.242978465374456</v>
      </c>
      <c r="BM51" s="88"/>
      <c r="BN51" s="88"/>
      <c r="BO51" s="90">
        <v>3.3713453925135792</v>
      </c>
      <c r="BP51" s="87">
        <v>21.727586948907682</v>
      </c>
      <c r="BQ51" s="87">
        <v>420.00360439537155</v>
      </c>
      <c r="BR51" s="87">
        <v>350.6030775541912</v>
      </c>
      <c r="BS51" s="87"/>
      <c r="BT51" s="87">
        <v>47.524002075195298</v>
      </c>
      <c r="BU51" s="93">
        <v>1.0217805408863569</v>
      </c>
      <c r="BV51" s="87"/>
      <c r="BW51" s="815" t="s">
        <v>1169</v>
      </c>
    </row>
    <row r="52" spans="38:75" ht="17" thickBot="1">
      <c r="AL52" s="283" t="s">
        <v>101</v>
      </c>
      <c r="AM52" s="96">
        <v>448.26417830540623</v>
      </c>
      <c r="AN52" s="96">
        <v>412.13447323766729</v>
      </c>
      <c r="AO52" s="96">
        <v>447.56002758725418</v>
      </c>
      <c r="AP52" s="284"/>
      <c r="AQ52" s="96">
        <v>417.79438303015218</v>
      </c>
      <c r="AR52" s="98">
        <v>459</v>
      </c>
      <c r="AS52" s="285"/>
      <c r="AT52" s="96">
        <v>436.8680345332624</v>
      </c>
      <c r="AU52" s="96">
        <v>466.64661777318889</v>
      </c>
      <c r="AV52" s="96">
        <v>462.7265967840342</v>
      </c>
      <c r="AW52" s="96">
        <v>430.89267552641536</v>
      </c>
      <c r="AX52" s="96">
        <v>434.56396868329983</v>
      </c>
      <c r="AY52" s="96">
        <v>447.35542844663286</v>
      </c>
      <c r="AZ52" s="96">
        <v>447.31633078866469</v>
      </c>
      <c r="BA52" s="96">
        <v>330.75078217757294</v>
      </c>
      <c r="BB52" s="96">
        <v>422.37226726515297</v>
      </c>
      <c r="BC52" s="96">
        <v>415.09848364969082</v>
      </c>
      <c r="BD52" s="97"/>
      <c r="BE52" s="99"/>
      <c r="BF52" s="99"/>
      <c r="BG52" s="96">
        <v>248.37342925217177</v>
      </c>
      <c r="BH52" s="99"/>
      <c r="BI52" s="96">
        <v>430.05882731365438</v>
      </c>
      <c r="BJ52" s="96">
        <v>391.91784775661068</v>
      </c>
      <c r="BK52" s="96">
        <v>443.90763256489299</v>
      </c>
      <c r="BL52" s="96">
        <v>49.819906001301199</v>
      </c>
      <c r="BM52" s="97"/>
      <c r="BN52" s="97"/>
      <c r="BO52" s="99">
        <v>2.9349201004101189</v>
      </c>
      <c r="BP52" s="96">
        <v>22.502293822405633</v>
      </c>
      <c r="BQ52" s="96">
        <v>432.5189125474048</v>
      </c>
      <c r="BR52" s="96">
        <v>365.21969125908151</v>
      </c>
      <c r="BS52" s="96"/>
      <c r="BT52" s="96">
        <v>44.130001068115298</v>
      </c>
      <c r="BU52" s="102">
        <v>1.2822621718229281</v>
      </c>
      <c r="BV52" s="96"/>
      <c r="BW52" s="816" t="s">
        <v>1172</v>
      </c>
    </row>
    <row r="53" spans="38:75">
      <c r="AL53" s="286" t="s">
        <v>1209</v>
      </c>
      <c r="AM53" s="105" t="s">
        <v>632</v>
      </c>
      <c r="AN53" s="106">
        <v>53.255973390663463</v>
      </c>
      <c r="AO53" s="107" t="s">
        <v>604</v>
      </c>
      <c r="AP53" s="106"/>
      <c r="AQ53" s="106">
        <v>4594.0459720584668</v>
      </c>
      <c r="AR53" s="109">
        <v>55500</v>
      </c>
      <c r="AS53" s="106"/>
      <c r="AT53" s="106">
        <v>154.36412510599635</v>
      </c>
      <c r="AU53" s="110"/>
      <c r="AV53" s="110" t="s">
        <v>1210</v>
      </c>
      <c r="AW53" s="106">
        <v>55.833908293723432</v>
      </c>
      <c r="AX53" s="106">
        <v>65.698962697798279</v>
      </c>
      <c r="AY53" s="106"/>
      <c r="AZ53" s="106">
        <v>174.74753962995635</v>
      </c>
      <c r="BA53" s="111">
        <v>5.1603687243251626</v>
      </c>
      <c r="BB53" s="111">
        <v>6.1939925351286833</v>
      </c>
      <c r="BC53" s="111">
        <v>7.667100272165448</v>
      </c>
      <c r="BD53" s="106"/>
      <c r="BE53" s="111"/>
      <c r="BF53" s="111"/>
      <c r="BG53" s="105" t="s">
        <v>64</v>
      </c>
      <c r="BH53" s="111"/>
      <c r="BI53" s="107" t="s">
        <v>65</v>
      </c>
      <c r="BJ53" s="107" t="s">
        <v>189</v>
      </c>
      <c r="BK53" s="111">
        <v>3.0101916549010248</v>
      </c>
      <c r="BL53" s="111">
        <v>1.1800175830238526</v>
      </c>
      <c r="BM53" s="111"/>
      <c r="BN53" s="106"/>
      <c r="BO53" s="106">
        <v>29.401214777370921</v>
      </c>
      <c r="BP53" s="108">
        <v>0.65622286524856221</v>
      </c>
      <c r="BQ53" s="107" t="s">
        <v>117</v>
      </c>
      <c r="BR53" s="107" t="s">
        <v>167</v>
      </c>
      <c r="BS53" s="107"/>
      <c r="BT53" s="106">
        <v>38.698001861572294</v>
      </c>
      <c r="BU53" s="113">
        <v>0.49175973395236</v>
      </c>
      <c r="BV53" s="106"/>
      <c r="BW53" s="106" t="s">
        <v>1173</v>
      </c>
    </row>
    <row r="54" spans="38:75">
      <c r="AL54" s="286" t="s">
        <v>1211</v>
      </c>
      <c r="AM54" s="110" t="s">
        <v>54</v>
      </c>
      <c r="AN54" s="106">
        <v>67.6066650276465</v>
      </c>
      <c r="AO54" s="107" t="s">
        <v>1212</v>
      </c>
      <c r="AP54" s="106"/>
      <c r="AQ54" s="106">
        <v>4349.4582250250533</v>
      </c>
      <c r="AR54" s="109">
        <v>55500</v>
      </c>
      <c r="AS54" s="106"/>
      <c r="AT54" s="106">
        <v>167.87368477201778</v>
      </c>
      <c r="AU54" s="110"/>
      <c r="AV54" s="110" t="s">
        <v>426</v>
      </c>
      <c r="AW54" s="106">
        <v>51.069592758159857</v>
      </c>
      <c r="AX54" s="106">
        <v>60.316750072095772</v>
      </c>
      <c r="AY54" s="106"/>
      <c r="AZ54" s="106">
        <v>164.96302100317166</v>
      </c>
      <c r="BA54" s="111">
        <v>4.7995437202192068</v>
      </c>
      <c r="BB54" s="111">
        <v>6.3639827631134001</v>
      </c>
      <c r="BC54" s="111">
        <v>7.4892433333585853</v>
      </c>
      <c r="BD54" s="106"/>
      <c r="BE54" s="111"/>
      <c r="BF54" s="111"/>
      <c r="BG54" s="105" t="s">
        <v>134</v>
      </c>
      <c r="BH54" s="111"/>
      <c r="BI54" s="107">
        <v>0.29869885350895314</v>
      </c>
      <c r="BJ54" s="107" t="s">
        <v>897</v>
      </c>
      <c r="BK54" s="111">
        <v>3.2893286808359914</v>
      </c>
      <c r="BL54" s="111">
        <v>1.2025201566756856</v>
      </c>
      <c r="BM54" s="111"/>
      <c r="BN54" s="106"/>
      <c r="BO54" s="106">
        <v>28.189249560694744</v>
      </c>
      <c r="BP54" s="108">
        <v>0.51510111668453662</v>
      </c>
      <c r="BQ54" s="107" t="s">
        <v>131</v>
      </c>
      <c r="BR54" s="107" t="s">
        <v>104</v>
      </c>
      <c r="BS54" s="107"/>
      <c r="BT54" s="106">
        <v>42.093002319335994</v>
      </c>
      <c r="BU54" s="113">
        <v>0.4920171003619993</v>
      </c>
      <c r="BV54" s="106"/>
      <c r="BW54" s="106" t="s">
        <v>1174</v>
      </c>
    </row>
    <row r="55" spans="38:75">
      <c r="AL55" s="211" t="s">
        <v>1175</v>
      </c>
      <c r="AM55" s="115" t="s">
        <v>194</v>
      </c>
      <c r="AN55" s="116">
        <v>36.574427775250115</v>
      </c>
      <c r="AO55" s="115" t="s">
        <v>1213</v>
      </c>
      <c r="AP55" s="116"/>
      <c r="AQ55" s="116">
        <v>4774.6758040445457</v>
      </c>
      <c r="AR55" s="118">
        <v>56500</v>
      </c>
      <c r="AS55" s="116"/>
      <c r="AT55" s="116">
        <v>165.57978014280363</v>
      </c>
      <c r="AU55" s="275"/>
      <c r="AV55" s="115" t="s">
        <v>1031</v>
      </c>
      <c r="AW55" s="116">
        <v>59.025768802043217</v>
      </c>
      <c r="AX55" s="116">
        <v>66.452069579087848</v>
      </c>
      <c r="AY55" s="116"/>
      <c r="AZ55" s="116">
        <v>178.24201972488675</v>
      </c>
      <c r="BA55" s="119">
        <v>6.4890873535700955</v>
      </c>
      <c r="BB55" s="119">
        <v>6.0360582860538647</v>
      </c>
      <c r="BC55" s="119">
        <v>6.9767915288833509</v>
      </c>
      <c r="BD55" s="116"/>
      <c r="BE55" s="119"/>
      <c r="BF55" s="119"/>
      <c r="BG55" s="817" t="s">
        <v>184</v>
      </c>
      <c r="BH55" s="119"/>
      <c r="BI55" s="115" t="s">
        <v>520</v>
      </c>
      <c r="BJ55" s="115" t="s">
        <v>79</v>
      </c>
      <c r="BK55" s="119">
        <v>3.0309209231895209</v>
      </c>
      <c r="BL55" s="115" t="s">
        <v>131</v>
      </c>
      <c r="BM55" s="119"/>
      <c r="BN55" s="119"/>
      <c r="BO55" s="116">
        <v>24.772573302756538</v>
      </c>
      <c r="BP55" s="117">
        <v>0.77907823843831636</v>
      </c>
      <c r="BQ55" s="115" t="s">
        <v>185</v>
      </c>
      <c r="BR55" s="115" t="s">
        <v>185</v>
      </c>
      <c r="BS55" s="115"/>
      <c r="BT55" s="116">
        <v>44.130002975463896</v>
      </c>
      <c r="BU55" s="121">
        <v>0.38027436253105146</v>
      </c>
      <c r="BV55" s="116"/>
      <c r="BW55" s="116" t="s">
        <v>1176</v>
      </c>
    </row>
    <row r="56" spans="38:75">
      <c r="AL56" s="205" t="s">
        <v>1177</v>
      </c>
      <c r="AM56" s="153" t="s">
        <v>139</v>
      </c>
      <c r="AN56" s="153" t="s">
        <v>1354</v>
      </c>
      <c r="AO56" s="153" t="s">
        <v>1355</v>
      </c>
      <c r="AP56" s="155"/>
      <c r="AQ56" s="155">
        <v>674.92214794867425</v>
      </c>
      <c r="AR56" s="156">
        <v>231200</v>
      </c>
      <c r="AS56" s="155"/>
      <c r="AT56" s="155">
        <v>165.00248777237726</v>
      </c>
      <c r="AU56" s="155"/>
      <c r="AV56" s="155">
        <v>20.729499014083885</v>
      </c>
      <c r="AW56" s="155">
        <v>120.18724567689935</v>
      </c>
      <c r="AX56" s="155">
        <v>141.9723878609187</v>
      </c>
      <c r="AY56" s="155"/>
      <c r="AZ56" s="155">
        <v>184.05341740204062</v>
      </c>
      <c r="BA56" s="155">
        <v>298.7358685493702</v>
      </c>
      <c r="BB56" s="155">
        <v>291.34943913108771</v>
      </c>
      <c r="BC56" s="155">
        <v>285.94977486373807</v>
      </c>
      <c r="BD56" s="155"/>
      <c r="BE56" s="155"/>
      <c r="BF56" s="155"/>
      <c r="BG56" s="153" t="s">
        <v>184</v>
      </c>
      <c r="BH56" s="155"/>
      <c r="BI56" s="155">
        <v>377.24578177908791</v>
      </c>
      <c r="BJ56" s="155">
        <v>186.1915618883159</v>
      </c>
      <c r="BK56" s="155">
        <v>165.85330939371349</v>
      </c>
      <c r="BL56" s="155">
        <v>11.391676276655135</v>
      </c>
      <c r="BM56" s="155"/>
      <c r="BN56" s="155"/>
      <c r="BO56" s="155">
        <v>90.020819993689472</v>
      </c>
      <c r="BP56" s="155">
        <v>206.25757762512865</v>
      </c>
      <c r="BQ56" s="153" t="s">
        <v>41</v>
      </c>
      <c r="BR56" s="210">
        <v>1.8141023007124647E-2</v>
      </c>
      <c r="BS56" s="153"/>
      <c r="BT56" s="155">
        <v>50.240001678466797</v>
      </c>
      <c r="BU56" s="159">
        <v>0.41016174016954771</v>
      </c>
      <c r="BV56" s="155"/>
      <c r="BW56" s="155" t="s">
        <v>1178</v>
      </c>
    </row>
    <row r="57" spans="38:75">
      <c r="AL57" s="205" t="s">
        <v>1179</v>
      </c>
      <c r="AM57" s="153" t="s">
        <v>118</v>
      </c>
      <c r="AN57" s="153" t="s">
        <v>956</v>
      </c>
      <c r="AO57" s="153" t="s">
        <v>1356</v>
      </c>
      <c r="AP57" s="155"/>
      <c r="AQ57" s="155">
        <v>639.8625391648917</v>
      </c>
      <c r="AR57" s="156">
        <v>231200</v>
      </c>
      <c r="AS57" s="155"/>
      <c r="AT57" s="155">
        <v>151.63509129038957</v>
      </c>
      <c r="AU57" s="155"/>
      <c r="AV57" s="155">
        <v>24.078191852523414</v>
      </c>
      <c r="AW57" s="155">
        <v>134.02642506866252</v>
      </c>
      <c r="AX57" s="155">
        <v>147.35674287685836</v>
      </c>
      <c r="AY57" s="155"/>
      <c r="AZ57" s="155">
        <v>235.93829638913067</v>
      </c>
      <c r="BA57" s="155">
        <v>305.98545929311825</v>
      </c>
      <c r="BB57" s="155">
        <v>298.68955310166871</v>
      </c>
      <c r="BC57" s="155">
        <v>293.74632047179597</v>
      </c>
      <c r="BD57" s="155"/>
      <c r="BE57" s="155"/>
      <c r="BF57" s="155"/>
      <c r="BG57" s="154">
        <v>0.32673079664108851</v>
      </c>
      <c r="BH57" s="155"/>
      <c r="BI57" s="155">
        <v>365.45470848781974</v>
      </c>
      <c r="BJ57" s="155">
        <v>176.01944408913076</v>
      </c>
      <c r="BK57" s="155">
        <v>181.54991822041984</v>
      </c>
      <c r="BL57" s="271">
        <v>7.8128889547215907</v>
      </c>
      <c r="BM57" s="155"/>
      <c r="BN57" s="155"/>
      <c r="BO57" s="155">
        <v>149.95298200579265</v>
      </c>
      <c r="BP57" s="155">
        <v>213.73266258020561</v>
      </c>
      <c r="BQ57" s="210">
        <v>4.7088930694291348E-2</v>
      </c>
      <c r="BR57" s="153" t="s">
        <v>57</v>
      </c>
      <c r="BS57" s="153"/>
      <c r="BT57" s="155">
        <v>40.735000610351598</v>
      </c>
      <c r="BU57" s="159">
        <v>0.41226308760971692</v>
      </c>
      <c r="BV57" s="155"/>
      <c r="BW57" s="155" t="s">
        <v>1180</v>
      </c>
    </row>
    <row r="58" spans="38:75">
      <c r="AL58" s="205" t="s">
        <v>1189</v>
      </c>
      <c r="AM58" s="272" t="s">
        <v>116</v>
      </c>
      <c r="AN58" s="272" t="s">
        <v>1357</v>
      </c>
      <c r="AO58" s="272" t="s">
        <v>985</v>
      </c>
      <c r="AP58" s="155"/>
      <c r="AQ58" s="155">
        <v>622.84209271265559</v>
      </c>
      <c r="AR58" s="156">
        <v>231200</v>
      </c>
      <c r="AS58" s="155"/>
      <c r="AT58" s="155">
        <v>153.11565246961689</v>
      </c>
      <c r="AU58" s="155"/>
      <c r="AV58" s="153">
        <v>14.666715833539582</v>
      </c>
      <c r="AW58" s="155">
        <v>140.36198299670744</v>
      </c>
      <c r="AX58" s="155">
        <v>144.6521695728008</v>
      </c>
      <c r="AY58" s="155"/>
      <c r="AZ58" s="155">
        <v>233.1037273687059</v>
      </c>
      <c r="BA58" s="155">
        <v>320.51504025760232</v>
      </c>
      <c r="BB58" s="155">
        <v>272.61845416542872</v>
      </c>
      <c r="BC58" s="155">
        <v>279.53416728441334</v>
      </c>
      <c r="BD58" s="155"/>
      <c r="BE58" s="155"/>
      <c r="BF58" s="155"/>
      <c r="BG58" s="154">
        <v>0.68953006496446378</v>
      </c>
      <c r="BH58" s="155"/>
      <c r="BI58" s="155">
        <v>409.00432901062294</v>
      </c>
      <c r="BJ58" s="155">
        <v>189.0920329531946</v>
      </c>
      <c r="BK58" s="155">
        <v>163.2963061289548</v>
      </c>
      <c r="BL58" s="155">
        <v>33.436920804419067</v>
      </c>
      <c r="BM58" s="155"/>
      <c r="BN58" s="155"/>
      <c r="BO58" s="155">
        <v>144.78915447909947</v>
      </c>
      <c r="BP58" s="155">
        <v>229.13864729145203</v>
      </c>
      <c r="BQ58" s="210">
        <v>0.90793823924469363</v>
      </c>
      <c r="BR58" s="154">
        <v>0.873253793603879</v>
      </c>
      <c r="BS58" s="272"/>
      <c r="BT58" s="155">
        <v>27.836000442504901</v>
      </c>
      <c r="BU58" s="159">
        <v>0.31801842618558263</v>
      </c>
      <c r="BV58" s="155"/>
      <c r="BW58" s="155" t="s">
        <v>1190</v>
      </c>
    </row>
    <row r="59" spans="38:75">
      <c r="AL59" s="292" t="s">
        <v>1225</v>
      </c>
      <c r="AM59" s="153" t="s">
        <v>285</v>
      </c>
      <c r="AN59" s="153" t="s">
        <v>1384</v>
      </c>
      <c r="AO59" s="153" t="s">
        <v>1385</v>
      </c>
      <c r="AP59" s="154"/>
      <c r="AQ59" s="155">
        <v>642.8332624689391</v>
      </c>
      <c r="AR59" s="156">
        <v>231200</v>
      </c>
      <c r="AS59" s="155"/>
      <c r="AT59" s="155">
        <v>154.10561927191955</v>
      </c>
      <c r="AU59" s="155">
        <v>27.188704942915475</v>
      </c>
      <c r="AV59" s="155">
        <v>19.131742876729838</v>
      </c>
      <c r="AW59" s="155"/>
      <c r="AX59" s="155">
        <v>162.55245913010401</v>
      </c>
      <c r="AY59" s="155">
        <v>246.09026508010075</v>
      </c>
      <c r="AZ59" s="155">
        <v>198.03156041178832</v>
      </c>
      <c r="BA59" s="155">
        <v>296.31452809848389</v>
      </c>
      <c r="BB59" s="155">
        <v>271.27803126333123</v>
      </c>
      <c r="BC59" s="155">
        <v>264.43320131805609</v>
      </c>
      <c r="BD59" s="155"/>
      <c r="BE59" s="155">
        <v>202.46447948192028</v>
      </c>
      <c r="BF59" s="155"/>
      <c r="BG59" s="154">
        <v>0.42609744657379983</v>
      </c>
      <c r="BH59" s="155"/>
      <c r="BI59" s="155">
        <v>431.6788963922051</v>
      </c>
      <c r="BJ59" s="155">
        <v>181.07513554846275</v>
      </c>
      <c r="BK59" s="155">
        <v>152.54727193513256</v>
      </c>
      <c r="BL59" s="154">
        <v>8.5405426492587537</v>
      </c>
      <c r="BM59" s="154"/>
      <c r="BN59" s="154"/>
      <c r="BO59" s="155">
        <v>70.678430936305759</v>
      </c>
      <c r="BP59" s="155">
        <v>251.70098381210224</v>
      </c>
      <c r="BQ59" s="210">
        <v>6.1311437626235303E-2</v>
      </c>
      <c r="BR59" s="153" t="s">
        <v>56</v>
      </c>
      <c r="BS59" s="157"/>
      <c r="BT59" s="158">
        <v>37.341001510620096</v>
      </c>
      <c r="BU59" s="159">
        <v>0.32611673706466915</v>
      </c>
      <c r="BV59" s="157"/>
      <c r="BW59" s="160" t="s">
        <v>1226</v>
      </c>
    </row>
    <row r="60" spans="38:75">
      <c r="AL60" s="830" t="s">
        <v>1227</v>
      </c>
      <c r="AM60" s="831" t="s">
        <v>281</v>
      </c>
      <c r="AN60" s="831" t="s">
        <v>1386</v>
      </c>
      <c r="AO60" s="831" t="s">
        <v>1387</v>
      </c>
      <c r="AP60" s="832"/>
      <c r="AQ60" s="833">
        <v>635.32202302148994</v>
      </c>
      <c r="AR60" s="834">
        <v>231200</v>
      </c>
      <c r="AS60" s="833"/>
      <c r="AT60" s="833">
        <v>157.56248091180629</v>
      </c>
      <c r="AU60" s="833">
        <v>27.342176381667809</v>
      </c>
      <c r="AV60" s="833">
        <v>16.627765640292782</v>
      </c>
      <c r="AW60" s="833"/>
      <c r="AX60" s="833">
        <v>145.27654450805471</v>
      </c>
      <c r="AY60" s="833">
        <v>399.52186094796224</v>
      </c>
      <c r="AZ60" s="833">
        <v>390.30159716977511</v>
      </c>
      <c r="BA60" s="833">
        <v>326.34949667453247</v>
      </c>
      <c r="BB60" s="833">
        <v>311.23032346031545</v>
      </c>
      <c r="BC60" s="833">
        <v>304.21462384239715</v>
      </c>
      <c r="BD60" s="833"/>
      <c r="BE60" s="833">
        <v>198.345245813671</v>
      </c>
      <c r="BF60" s="833"/>
      <c r="BG60" s="832">
        <v>0.6731045087907388</v>
      </c>
      <c r="BH60" s="833"/>
      <c r="BI60" s="833">
        <v>445.8378633434582</v>
      </c>
      <c r="BJ60" s="833">
        <v>194.15702859701204</v>
      </c>
      <c r="BK60" s="833">
        <v>158.71779742410587</v>
      </c>
      <c r="BL60" s="833">
        <v>1083.9975075201176</v>
      </c>
      <c r="BM60" s="833"/>
      <c r="BN60" s="833"/>
      <c r="BO60" s="833">
        <v>335.56406444086139</v>
      </c>
      <c r="BP60" s="833">
        <v>309.7489098991926</v>
      </c>
      <c r="BQ60" s="832">
        <v>0.59292304853371181</v>
      </c>
      <c r="BR60" s="832">
        <v>0.74890077224139906</v>
      </c>
      <c r="BS60" s="835"/>
      <c r="BT60" s="836">
        <v>21.047000885009801</v>
      </c>
      <c r="BU60" s="837">
        <v>0.30709975589947353</v>
      </c>
      <c r="BV60" s="835"/>
      <c r="BW60" s="838" t="s">
        <v>1228</v>
      </c>
    </row>
    <row r="61" spans="38:75">
      <c r="AL61" s="206" t="s">
        <v>1185</v>
      </c>
      <c r="AM61" s="131">
        <v>19.550590901435431</v>
      </c>
      <c r="AN61" s="131">
        <v>37.369981815740083</v>
      </c>
      <c r="AO61" s="131">
        <v>941.43792906017859</v>
      </c>
      <c r="AP61" s="131"/>
      <c r="AQ61" s="131">
        <v>51.534000232337831</v>
      </c>
      <c r="AR61" s="132">
        <v>9700</v>
      </c>
      <c r="AS61" s="131"/>
      <c r="AT61" s="131">
        <v>155.59647573035036</v>
      </c>
      <c r="AU61" s="131"/>
      <c r="AV61" s="131">
        <v>106.03471000280746</v>
      </c>
      <c r="AW61" s="134" t="s">
        <v>124</v>
      </c>
      <c r="AX61" s="133">
        <v>9.9462915974642491E-2</v>
      </c>
      <c r="AY61" s="135"/>
      <c r="AZ61" s="134" t="s">
        <v>626</v>
      </c>
      <c r="BA61" s="134" t="s">
        <v>133</v>
      </c>
      <c r="BB61" s="131">
        <v>214.32602566251572</v>
      </c>
      <c r="BC61" s="131">
        <v>214.88144564949255</v>
      </c>
      <c r="BD61" s="133"/>
      <c r="BE61" s="133"/>
      <c r="BF61" s="134"/>
      <c r="BG61" s="135">
        <v>2.4507454658345402</v>
      </c>
      <c r="BH61" s="133"/>
      <c r="BI61" s="133">
        <v>0.23595889506336487</v>
      </c>
      <c r="BJ61" s="133">
        <v>0.17813219688939089</v>
      </c>
      <c r="BK61" s="133">
        <v>0.53057988716970617</v>
      </c>
      <c r="BL61" s="134" t="s">
        <v>239</v>
      </c>
      <c r="BM61" s="131"/>
      <c r="BN61" s="131"/>
      <c r="BO61" s="131"/>
      <c r="BP61" s="133">
        <v>0.48175854077750296</v>
      </c>
      <c r="BQ61" s="133">
        <v>0.15079374102481891</v>
      </c>
      <c r="BR61" s="133">
        <v>0.34319507071968647</v>
      </c>
      <c r="BS61" s="131"/>
      <c r="BT61" s="131">
        <v>29.872999191284197</v>
      </c>
      <c r="BU61" s="138">
        <v>1.6903688984075695</v>
      </c>
      <c r="BV61" s="131"/>
      <c r="BW61" s="131" t="s">
        <v>1186</v>
      </c>
    </row>
    <row r="62" spans="38:75">
      <c r="AL62" s="206" t="s">
        <v>1187</v>
      </c>
      <c r="AM62" s="131">
        <v>22.256139135597444</v>
      </c>
      <c r="AN62" s="131">
        <v>49.192721684098899</v>
      </c>
      <c r="AO62" s="131">
        <v>944.54327575383024</v>
      </c>
      <c r="AP62" s="131"/>
      <c r="AQ62" s="131">
        <v>47.442451691092693</v>
      </c>
      <c r="AR62" s="132">
        <v>9700</v>
      </c>
      <c r="AS62" s="131"/>
      <c r="AT62" s="131">
        <v>159.78953279638216</v>
      </c>
      <c r="AU62" s="131"/>
      <c r="AV62" s="131">
        <v>110.96500645724791</v>
      </c>
      <c r="AW62" s="133">
        <v>0.26234288835391423</v>
      </c>
      <c r="AX62" s="133">
        <v>0.34303138174265502</v>
      </c>
      <c r="AY62" s="135"/>
      <c r="AZ62" s="134" t="s">
        <v>560</v>
      </c>
      <c r="BA62" s="133">
        <v>0.40069508942220305</v>
      </c>
      <c r="BB62" s="131">
        <v>203.72664168517534</v>
      </c>
      <c r="BC62" s="131">
        <v>196.39919461932504</v>
      </c>
      <c r="BD62" s="133"/>
      <c r="BE62" s="133"/>
      <c r="BF62" s="133"/>
      <c r="BG62" s="135">
        <v>2.2832582964907271</v>
      </c>
      <c r="BH62" s="134"/>
      <c r="BI62" s="134" t="s">
        <v>133</v>
      </c>
      <c r="BJ62" s="134" t="s">
        <v>64</v>
      </c>
      <c r="BK62" s="133">
        <v>0.58670414656196535</v>
      </c>
      <c r="BL62" s="208">
        <v>2.4316966762359788E-3</v>
      </c>
      <c r="BM62" s="208"/>
      <c r="BN62" s="131"/>
      <c r="BO62" s="131"/>
      <c r="BP62" s="133">
        <v>0.35878527885510814</v>
      </c>
      <c r="BQ62" s="133">
        <v>0.20443115325988478</v>
      </c>
      <c r="BR62" s="133">
        <v>0.36135722280885846</v>
      </c>
      <c r="BS62" s="131"/>
      <c r="BT62" s="131">
        <v>40.734998703002894</v>
      </c>
      <c r="BU62" s="138">
        <v>1.0158288533392454</v>
      </c>
      <c r="BV62" s="131"/>
      <c r="BW62" s="131" t="s">
        <v>1188</v>
      </c>
    </row>
    <row r="63" spans="38:75">
      <c r="AL63" s="206" t="s">
        <v>1193</v>
      </c>
      <c r="AM63" s="131">
        <v>19.708416617853981</v>
      </c>
      <c r="AN63" s="131">
        <v>39.048363172961139</v>
      </c>
      <c r="AO63" s="131">
        <v>948.22961451641845</v>
      </c>
      <c r="AP63" s="131"/>
      <c r="AQ63" s="131">
        <v>43.737085715709476</v>
      </c>
      <c r="AR63" s="132">
        <v>9700</v>
      </c>
      <c r="AS63" s="131"/>
      <c r="AT63" s="131">
        <v>155.03857863114987</v>
      </c>
      <c r="AU63" s="131"/>
      <c r="AV63" s="131">
        <v>108.38052382883538</v>
      </c>
      <c r="AW63" s="134" t="s">
        <v>167</v>
      </c>
      <c r="AX63" s="134" t="s">
        <v>64</v>
      </c>
      <c r="AY63" s="135"/>
      <c r="AZ63" s="134" t="s">
        <v>1249</v>
      </c>
      <c r="BA63" s="662" t="s">
        <v>614</v>
      </c>
      <c r="BB63" s="131">
        <v>210.07839219835583</v>
      </c>
      <c r="BC63" s="131">
        <v>216.12857692305226</v>
      </c>
      <c r="BD63" s="134"/>
      <c r="BE63" s="133"/>
      <c r="BF63" s="134"/>
      <c r="BG63" s="135">
        <v>2.391111607463154</v>
      </c>
      <c r="BH63" s="133"/>
      <c r="BI63" s="134" t="s">
        <v>141</v>
      </c>
      <c r="BJ63" s="134" t="s">
        <v>54</v>
      </c>
      <c r="BK63" s="133">
        <v>0.65189150492743453</v>
      </c>
      <c r="BL63" s="131"/>
      <c r="BM63" s="131"/>
      <c r="BN63" s="131"/>
      <c r="BO63" s="131"/>
      <c r="BP63" s="133">
        <v>0.51610222073488266</v>
      </c>
      <c r="BQ63" s="133">
        <v>0.22901844104084498</v>
      </c>
      <c r="BR63" s="133">
        <v>0.36461041049199805</v>
      </c>
      <c r="BS63" s="131"/>
      <c r="BT63" s="131">
        <v>41.414001464843793</v>
      </c>
      <c r="BU63" s="138">
        <v>0.89972904013420574</v>
      </c>
      <c r="BV63" s="131"/>
      <c r="BW63" s="131" t="s">
        <v>1194</v>
      </c>
    </row>
    <row r="64" spans="38:75">
      <c r="AL64" s="290" t="s">
        <v>1223</v>
      </c>
      <c r="AM64" s="131">
        <v>20.082389839907883</v>
      </c>
      <c r="AN64" s="131">
        <v>45.07117092959701</v>
      </c>
      <c r="AO64" s="131">
        <v>984.00880452728393</v>
      </c>
      <c r="AP64" s="133"/>
      <c r="AQ64" s="131">
        <v>46.724585482897041</v>
      </c>
      <c r="AR64" s="132">
        <v>9700</v>
      </c>
      <c r="AS64" s="131"/>
      <c r="AT64" s="131">
        <v>156.73428583623237</v>
      </c>
      <c r="AU64" s="131">
        <v>147.8442953918271</v>
      </c>
      <c r="AV64" s="131">
        <v>119.34430561136595</v>
      </c>
      <c r="AW64" s="134"/>
      <c r="AX64" s="134" t="s">
        <v>211</v>
      </c>
      <c r="AY64" s="135"/>
      <c r="AZ64" s="134" t="s">
        <v>304</v>
      </c>
      <c r="BA64" s="133">
        <v>0.22037734070120027</v>
      </c>
      <c r="BB64" s="131">
        <v>207.99255057160602</v>
      </c>
      <c r="BC64" s="131">
        <v>210.65653929144611</v>
      </c>
      <c r="BD64" s="133"/>
      <c r="BE64" s="133">
        <v>2.914517045365321E-2</v>
      </c>
      <c r="BF64" s="134"/>
      <c r="BG64" s="135">
        <v>2.6178105427162297</v>
      </c>
      <c r="BH64" s="133"/>
      <c r="BI64" s="134" t="s">
        <v>139</v>
      </c>
      <c r="BJ64" s="133">
        <v>0.18440246687199358</v>
      </c>
      <c r="BK64" s="133">
        <v>0.6468716189389756</v>
      </c>
      <c r="BL64" s="134" t="s">
        <v>214</v>
      </c>
      <c r="BM64" s="131"/>
      <c r="BN64" s="131"/>
      <c r="BO64" s="208">
        <v>3.0961705440839238E-3</v>
      </c>
      <c r="BP64" s="133">
        <v>0.61260170463082009</v>
      </c>
      <c r="BQ64" s="133">
        <v>0.14408352522585077</v>
      </c>
      <c r="BR64" s="133">
        <v>0.37890541590747506</v>
      </c>
      <c r="BS64" s="136"/>
      <c r="BT64" s="137">
        <v>45.488002777099595</v>
      </c>
      <c r="BU64" s="138">
        <v>0.99514306461690838</v>
      </c>
      <c r="BV64" s="136"/>
      <c r="BW64" s="139" t="s">
        <v>1224</v>
      </c>
    </row>
    <row r="65" spans="38:75">
      <c r="AL65" s="294" t="s">
        <v>1231</v>
      </c>
      <c r="AM65" s="299">
        <v>3.0841864806908736</v>
      </c>
      <c r="AN65" s="299">
        <v>5.0665026675819806</v>
      </c>
      <c r="AO65" s="295">
        <v>156.94515654684116</v>
      </c>
      <c r="AP65" s="295"/>
      <c r="AQ65" s="295">
        <v>20.382903011222297</v>
      </c>
      <c r="AR65" s="296">
        <v>9700</v>
      </c>
      <c r="AS65" s="295"/>
      <c r="AT65" s="295">
        <v>93.846233286653046</v>
      </c>
      <c r="AU65" s="295">
        <v>40.668424249671773</v>
      </c>
      <c r="AV65" s="295">
        <v>30.864605898771934</v>
      </c>
      <c r="AW65" s="297"/>
      <c r="AX65" s="297">
        <v>9.1971119922491296E-2</v>
      </c>
      <c r="AY65" s="299"/>
      <c r="AZ65" s="298" t="s">
        <v>319</v>
      </c>
      <c r="BA65" s="299">
        <v>2.7227949454040545</v>
      </c>
      <c r="BB65" s="295">
        <v>32.949821383441737</v>
      </c>
      <c r="BC65" s="295">
        <v>31.943808506989587</v>
      </c>
      <c r="BD65" s="297"/>
      <c r="BE65" s="297">
        <v>5.1058927324189207E-2</v>
      </c>
      <c r="BF65" s="299"/>
      <c r="BG65" s="299">
        <v>9.489413016155984</v>
      </c>
      <c r="BH65" s="297"/>
      <c r="BI65" s="295">
        <v>17.710324077485517</v>
      </c>
      <c r="BJ65" s="299">
        <v>8.1130488290334171</v>
      </c>
      <c r="BK65" s="297">
        <v>0.42908228522870545</v>
      </c>
      <c r="BL65" s="298" t="s">
        <v>171</v>
      </c>
      <c r="BM65" s="295"/>
      <c r="BN65" s="298"/>
      <c r="BO65" s="297"/>
      <c r="BP65" s="299">
        <v>2.3882131476762232</v>
      </c>
      <c r="BQ65" s="295">
        <v>13.077547676345649</v>
      </c>
      <c r="BR65" s="295">
        <v>11.628205709073425</v>
      </c>
      <c r="BS65" s="300"/>
      <c r="BT65" s="301">
        <v>42.772001266479492</v>
      </c>
      <c r="BU65" s="302">
        <v>4.7376770648217779</v>
      </c>
      <c r="BV65" s="300"/>
      <c r="BW65" s="303" t="s">
        <v>1232</v>
      </c>
    </row>
    <row r="66" spans="38:75">
      <c r="AL66" s="663" t="s">
        <v>1195</v>
      </c>
      <c r="AM66" s="664">
        <v>13.137638941857439</v>
      </c>
      <c r="AN66" s="664">
        <v>33.248893139981938</v>
      </c>
      <c r="AO66" s="664">
        <v>533.68075731240538</v>
      </c>
      <c r="AP66" s="664"/>
      <c r="AQ66" s="664">
        <v>37.209143889720046</v>
      </c>
      <c r="AR66" s="665">
        <v>9700</v>
      </c>
      <c r="AS66" s="664"/>
      <c r="AT66" s="664">
        <v>88.598989532342486</v>
      </c>
      <c r="AU66" s="664"/>
      <c r="AV66" s="664">
        <v>68.58598738443925</v>
      </c>
      <c r="AW66" s="666">
        <v>2.121958293490803</v>
      </c>
      <c r="AX66" s="666">
        <v>2.7592926259483894</v>
      </c>
      <c r="AY66" s="666"/>
      <c r="AZ66" s="666">
        <v>2.7683121393979069</v>
      </c>
      <c r="BA66" s="666">
        <v>4.4905045006039614</v>
      </c>
      <c r="BB66" s="664">
        <v>117.71706931841538</v>
      </c>
      <c r="BC66" s="664">
        <v>115.45672818652406</v>
      </c>
      <c r="BD66" s="666"/>
      <c r="BE66" s="666"/>
      <c r="BF66" s="666"/>
      <c r="BG66" s="666">
        <v>1.6475775324151596</v>
      </c>
      <c r="BH66" s="666"/>
      <c r="BI66" s="666">
        <v>8.8166550003817648</v>
      </c>
      <c r="BJ66" s="666">
        <v>3.6875010785716986</v>
      </c>
      <c r="BK66" s="666">
        <v>2.3394295944737387</v>
      </c>
      <c r="BL66" s="667">
        <v>1.7443113334317136E-2</v>
      </c>
      <c r="BM66" s="667"/>
      <c r="BN66" s="667"/>
      <c r="BO66" s="667">
        <v>0.50288175170059413</v>
      </c>
      <c r="BP66" s="666">
        <v>4.3657922601745005</v>
      </c>
      <c r="BQ66" s="667">
        <v>0.43051049671595859</v>
      </c>
      <c r="BR66" s="667">
        <v>0.39100647670881034</v>
      </c>
      <c r="BS66" s="664"/>
      <c r="BT66" s="664">
        <v>38.019001007080099</v>
      </c>
      <c r="BU66" s="670">
        <v>1.4348510442697091</v>
      </c>
      <c r="BV66" s="664"/>
      <c r="BW66" s="664" t="s">
        <v>1196</v>
      </c>
    </row>
    <row r="67" spans="38:75">
      <c r="AL67" s="207" t="s">
        <v>1181</v>
      </c>
      <c r="AM67" s="141">
        <v>10.056942232341726</v>
      </c>
      <c r="AN67" s="143">
        <v>9.1137065780331152</v>
      </c>
      <c r="AO67" s="141">
        <v>467.42095809790692</v>
      </c>
      <c r="AP67" s="141"/>
      <c r="AQ67" s="141">
        <v>181.24652330215093</v>
      </c>
      <c r="AR67" s="142">
        <v>91400</v>
      </c>
      <c r="AS67" s="141"/>
      <c r="AT67" s="141">
        <v>419.08342556263739</v>
      </c>
      <c r="AU67" s="141"/>
      <c r="AV67" s="141">
        <v>128.01873399822699</v>
      </c>
      <c r="AW67" s="143"/>
      <c r="AX67" s="143">
        <v>3.920076787480637</v>
      </c>
      <c r="AY67" s="143"/>
      <c r="AZ67" s="144" t="s">
        <v>1358</v>
      </c>
      <c r="BA67" s="141">
        <v>43.777040954803745</v>
      </c>
      <c r="BB67" s="141">
        <v>106.81268059634549</v>
      </c>
      <c r="BC67" s="141">
        <v>109.0145552807289</v>
      </c>
      <c r="BD67" s="143"/>
      <c r="BE67" s="143"/>
      <c r="BF67" s="141"/>
      <c r="BG67" s="141">
        <v>29.090569231230287</v>
      </c>
      <c r="BH67" s="141"/>
      <c r="BI67" s="141">
        <v>183.86597330865814</v>
      </c>
      <c r="BJ67" s="141">
        <v>89.135126213357424</v>
      </c>
      <c r="BK67" s="143">
        <v>5.8691787036651419</v>
      </c>
      <c r="BL67" s="145">
        <v>3.8339684116016216E-2</v>
      </c>
      <c r="BM67" s="145"/>
      <c r="BN67" s="145"/>
      <c r="BO67" s="145">
        <v>0.26439695566804966</v>
      </c>
      <c r="BP67" s="141">
        <v>37.582987842316435</v>
      </c>
      <c r="BQ67" s="141">
        <v>40.834807145699898</v>
      </c>
      <c r="BR67" s="141">
        <v>37.333597149776502</v>
      </c>
      <c r="BS67" s="141"/>
      <c r="BT67" s="141">
        <v>45.488002777099595</v>
      </c>
      <c r="BU67" s="148">
        <v>1.1069140017639001</v>
      </c>
      <c r="BV67" s="141"/>
      <c r="BW67" s="141" t="s">
        <v>1182</v>
      </c>
    </row>
    <row r="68" spans="38:75">
      <c r="AL68" s="207" t="s">
        <v>1183</v>
      </c>
      <c r="AM68" s="143">
        <v>7.5462341263470254</v>
      </c>
      <c r="AN68" s="143">
        <v>5.9995685542395334</v>
      </c>
      <c r="AO68" s="141">
        <v>370.07230865914613</v>
      </c>
      <c r="AP68" s="141"/>
      <c r="AQ68" s="141">
        <v>153.97057031172508</v>
      </c>
      <c r="AR68" s="142">
        <v>91400</v>
      </c>
      <c r="AS68" s="141"/>
      <c r="AT68" s="141">
        <v>754.7353797955351</v>
      </c>
      <c r="AU68" s="141"/>
      <c r="AV68" s="141">
        <v>141.51583069589722</v>
      </c>
      <c r="AW68" s="141"/>
      <c r="AX68" s="143">
        <v>2.8941523829004407</v>
      </c>
      <c r="AY68" s="143"/>
      <c r="AZ68" s="144" t="s">
        <v>1046</v>
      </c>
      <c r="BA68" s="141">
        <v>33.259443535521214</v>
      </c>
      <c r="BB68" s="141">
        <v>93.502924373920067</v>
      </c>
      <c r="BC68" s="141">
        <v>94.239707673947976</v>
      </c>
      <c r="BD68" s="145"/>
      <c r="BE68" s="143"/>
      <c r="BF68" s="141"/>
      <c r="BG68" s="141">
        <v>138.19294728703574</v>
      </c>
      <c r="BH68" s="141"/>
      <c r="BI68" s="141">
        <v>219.1307218113289</v>
      </c>
      <c r="BJ68" s="141">
        <v>116.2563760900352</v>
      </c>
      <c r="BK68" s="143">
        <v>5.0113259964812613</v>
      </c>
      <c r="BL68" s="145">
        <v>2.7329334580437761E-2</v>
      </c>
      <c r="BM68" s="145"/>
      <c r="BN68" s="145"/>
      <c r="BO68" s="145">
        <v>0.16137286932116957</v>
      </c>
      <c r="BP68" s="141">
        <v>28.304913469048635</v>
      </c>
      <c r="BQ68" s="141">
        <v>219.06910441248044</v>
      </c>
      <c r="BR68" s="141">
        <v>172.14271269475807</v>
      </c>
      <c r="BS68" s="141"/>
      <c r="BT68" s="141">
        <v>40.735000610351598</v>
      </c>
      <c r="BU68" s="148">
        <v>1.1835681105387736</v>
      </c>
      <c r="BV68" s="141"/>
      <c r="BW68" s="141" t="s">
        <v>1184</v>
      </c>
    </row>
    <row r="69" spans="38:75">
      <c r="AL69" s="207" t="s">
        <v>1191</v>
      </c>
      <c r="AM69" s="141">
        <v>11.918546328083577</v>
      </c>
      <c r="AN69" s="143">
        <v>14.929072500754568</v>
      </c>
      <c r="AO69" s="141">
        <v>558.66690329121718</v>
      </c>
      <c r="AP69" s="141"/>
      <c r="AQ69" s="141">
        <v>140.36702204896866</v>
      </c>
      <c r="AR69" s="142">
        <v>91400</v>
      </c>
      <c r="AS69" s="141"/>
      <c r="AT69" s="141">
        <v>1004.7828876533863</v>
      </c>
      <c r="AU69" s="141"/>
      <c r="AV69" s="141">
        <v>166.16231655067935</v>
      </c>
      <c r="AW69" s="141"/>
      <c r="AX69" s="143">
        <v>2.55905113510229</v>
      </c>
      <c r="AY69" s="141"/>
      <c r="AZ69" s="144" t="s">
        <v>962</v>
      </c>
      <c r="BA69" s="141">
        <v>34.388643576728008</v>
      </c>
      <c r="BB69" s="141">
        <v>173.61906147188375</v>
      </c>
      <c r="BC69" s="141">
        <v>175.31143486327986</v>
      </c>
      <c r="BD69" s="145"/>
      <c r="BE69" s="143"/>
      <c r="BF69" s="141"/>
      <c r="BG69" s="141">
        <v>179.42576717564154</v>
      </c>
      <c r="BH69" s="141"/>
      <c r="BI69" s="141">
        <v>178.83826253175837</v>
      </c>
      <c r="BJ69" s="141">
        <v>102.98920926660037</v>
      </c>
      <c r="BK69" s="143">
        <v>4.7797888235278823</v>
      </c>
      <c r="BL69" s="144" t="s">
        <v>41</v>
      </c>
      <c r="BM69" s="145"/>
      <c r="BN69" s="145"/>
      <c r="BO69" s="145">
        <v>0.10622993154880749</v>
      </c>
      <c r="BP69" s="141">
        <v>28.998182747338923</v>
      </c>
      <c r="BQ69" s="141">
        <v>277.81682320859704</v>
      </c>
      <c r="BR69" s="141">
        <v>210.76218209333717</v>
      </c>
      <c r="BS69" s="141"/>
      <c r="BT69" s="141">
        <v>44.130002975463896</v>
      </c>
      <c r="BU69" s="148">
        <v>0.56841344100182289</v>
      </c>
      <c r="BV69" s="141"/>
      <c r="BW69" s="141" t="s">
        <v>1192</v>
      </c>
    </row>
    <row r="70" spans="38:75">
      <c r="AL70" s="207" t="s">
        <v>1197</v>
      </c>
      <c r="AM70" s="143">
        <v>7.6998246339072587</v>
      </c>
      <c r="AN70" s="144" t="s">
        <v>1359</v>
      </c>
      <c r="AO70" s="141">
        <v>395.6512137608355</v>
      </c>
      <c r="AP70" s="141"/>
      <c r="AQ70" s="141">
        <v>138.99210584527776</v>
      </c>
      <c r="AR70" s="142">
        <v>91400</v>
      </c>
      <c r="AS70" s="141"/>
      <c r="AT70" s="141">
        <v>683.52399776472623</v>
      </c>
      <c r="AU70" s="141"/>
      <c r="AV70" s="141">
        <v>135.21713269835394</v>
      </c>
      <c r="AW70" s="143"/>
      <c r="AX70" s="143">
        <v>3.0092780440680422</v>
      </c>
      <c r="AY70" s="143"/>
      <c r="AZ70" s="144" t="s">
        <v>1360</v>
      </c>
      <c r="BA70" s="141">
        <v>33.506317004400366</v>
      </c>
      <c r="BB70" s="141">
        <v>102.09646140718621</v>
      </c>
      <c r="BC70" s="141">
        <v>102.93984641846296</v>
      </c>
      <c r="BD70" s="145"/>
      <c r="BE70" s="143"/>
      <c r="BF70" s="141"/>
      <c r="BG70" s="141">
        <v>90.772690137912974</v>
      </c>
      <c r="BH70" s="141"/>
      <c r="BI70" s="141">
        <v>199.0145231735838</v>
      </c>
      <c r="BJ70" s="141">
        <v>95.739335332157964</v>
      </c>
      <c r="BK70" s="143">
        <v>4.5066818257010857</v>
      </c>
      <c r="BL70" s="144" t="s">
        <v>214</v>
      </c>
      <c r="BM70" s="150"/>
      <c r="BN70" s="145"/>
      <c r="BO70" s="145">
        <v>0.23318868759239034</v>
      </c>
      <c r="BP70" s="141">
        <v>29.924456128769773</v>
      </c>
      <c r="BQ70" s="141">
        <v>143.78560470422599</v>
      </c>
      <c r="BR70" s="141">
        <v>120.33897526671917</v>
      </c>
      <c r="BS70" s="141"/>
      <c r="BT70" s="141">
        <v>43.451000213623097</v>
      </c>
      <c r="BU70" s="148">
        <v>0.62958822358591637</v>
      </c>
      <c r="BV70" s="141"/>
      <c r="BW70" s="141" t="s">
        <v>1198</v>
      </c>
    </row>
    <row r="71" spans="38:75">
      <c r="AL71" s="820" t="s">
        <v>1221</v>
      </c>
      <c r="AM71" s="821">
        <v>15.069223585556172</v>
      </c>
      <c r="AN71" s="821">
        <v>16.316506090144664</v>
      </c>
      <c r="AO71" s="821">
        <v>609.43953020888512</v>
      </c>
      <c r="AP71" s="822"/>
      <c r="AQ71" s="821">
        <v>150.73177274483871</v>
      </c>
      <c r="AR71" s="823">
        <v>91400</v>
      </c>
      <c r="AS71" s="821"/>
      <c r="AT71" s="821">
        <v>601.98179341667742</v>
      </c>
      <c r="AU71" s="821">
        <v>198.85031740486764</v>
      </c>
      <c r="AV71" s="821">
        <v>160.98847834870054</v>
      </c>
      <c r="AW71" s="824"/>
      <c r="AX71" s="824">
        <v>3.0316038668155478</v>
      </c>
      <c r="AY71" s="824"/>
      <c r="AZ71" s="825" t="s">
        <v>956</v>
      </c>
      <c r="BA71" s="821">
        <v>31.150326871188053</v>
      </c>
      <c r="BB71" s="821">
        <v>127.44358834986676</v>
      </c>
      <c r="BC71" s="821">
        <v>124.26100566495512</v>
      </c>
      <c r="BD71" s="822"/>
      <c r="BE71" s="824">
        <v>1.8063142520292446</v>
      </c>
      <c r="BF71" s="821"/>
      <c r="BG71" s="821">
        <v>97.765009808502597</v>
      </c>
      <c r="BH71" s="824"/>
      <c r="BI71" s="821">
        <v>182.65907138213188</v>
      </c>
      <c r="BJ71" s="821">
        <v>90.762904921668067</v>
      </c>
      <c r="BK71" s="824">
        <v>3.9771685936690901</v>
      </c>
      <c r="BL71" s="825" t="s">
        <v>57</v>
      </c>
      <c r="BM71" s="821"/>
      <c r="BN71" s="822"/>
      <c r="BO71" s="825" t="s">
        <v>49</v>
      </c>
      <c r="BP71" s="821">
        <v>29.226025048159819</v>
      </c>
      <c r="BQ71" s="821">
        <v>167.38677507253468</v>
      </c>
      <c r="BR71" s="821">
        <v>133.89959627773501</v>
      </c>
      <c r="BS71" s="826"/>
      <c r="BT71" s="827">
        <v>44.130002975463896</v>
      </c>
      <c r="BU71" s="828">
        <v>0.64807410429138934</v>
      </c>
      <c r="BV71" s="826"/>
      <c r="BW71" s="829" t="s">
        <v>1222</v>
      </c>
    </row>
    <row r="72" spans="38:75">
      <c r="AL72" s="293" t="s">
        <v>1229</v>
      </c>
      <c r="AM72" s="141">
        <v>10.747711947094436</v>
      </c>
      <c r="AN72" s="141">
        <v>11.892540069590712</v>
      </c>
      <c r="AO72" s="141">
        <v>594.78439597911063</v>
      </c>
      <c r="AP72" s="141"/>
      <c r="AQ72" s="141">
        <v>137.84174435436012</v>
      </c>
      <c r="AR72" s="142">
        <v>91400</v>
      </c>
      <c r="AS72" s="141"/>
      <c r="AT72" s="141">
        <v>1051.7054015106803</v>
      </c>
      <c r="AU72" s="141">
        <v>253.18710156068713</v>
      </c>
      <c r="AV72" s="141">
        <v>189.79370132286911</v>
      </c>
      <c r="AW72" s="141"/>
      <c r="AX72" s="143">
        <v>1.0704323831449749</v>
      </c>
      <c r="AY72" s="143"/>
      <c r="AZ72" s="144" t="s">
        <v>1383</v>
      </c>
      <c r="BA72" s="141">
        <v>22.711616558927915</v>
      </c>
      <c r="BB72" s="141">
        <v>141.17342500631995</v>
      </c>
      <c r="BC72" s="141">
        <v>140.58234472264073</v>
      </c>
      <c r="BD72" s="144"/>
      <c r="BE72" s="145">
        <v>0.35396731056055603</v>
      </c>
      <c r="BF72" s="141"/>
      <c r="BG72" s="141">
        <v>183.57107974097116</v>
      </c>
      <c r="BH72" s="143"/>
      <c r="BI72" s="141">
        <v>188.47627626626419</v>
      </c>
      <c r="BJ72" s="141">
        <v>107.48141031808706</v>
      </c>
      <c r="BK72" s="143">
        <v>5.2004797976394181</v>
      </c>
      <c r="BL72" s="144" t="s">
        <v>285</v>
      </c>
      <c r="BM72" s="144"/>
      <c r="BN72" s="144"/>
      <c r="BO72" s="145">
        <v>4.2331834646555648E-2</v>
      </c>
      <c r="BP72" s="141">
        <v>18.083709720561512</v>
      </c>
      <c r="BQ72" s="141">
        <v>266.51345585010506</v>
      </c>
      <c r="BR72" s="141">
        <v>205.44301966723299</v>
      </c>
      <c r="BS72" s="146"/>
      <c r="BT72" s="147">
        <v>24.4409999847412</v>
      </c>
      <c r="BU72" s="148">
        <v>0.72240425301568123</v>
      </c>
      <c r="BV72" s="146"/>
      <c r="BW72" s="149" t="s">
        <v>1230</v>
      </c>
    </row>
    <row r="73" spans="38:75">
      <c r="AL73" s="286" t="s">
        <v>1214</v>
      </c>
      <c r="AM73" s="105" t="s">
        <v>160</v>
      </c>
      <c r="AN73" s="106">
        <v>53.212193119947308</v>
      </c>
      <c r="AO73" s="107" t="s">
        <v>1215</v>
      </c>
      <c r="AP73" s="106"/>
      <c r="AQ73" s="106">
        <v>4178.1010747194186</v>
      </c>
      <c r="AR73" s="109">
        <v>55500</v>
      </c>
      <c r="AS73" s="106"/>
      <c r="AT73" s="106">
        <v>149.65450515574608</v>
      </c>
      <c r="AU73" s="110" t="s">
        <v>1216</v>
      </c>
      <c r="AV73" s="105" t="s">
        <v>1119</v>
      </c>
      <c r="AW73" s="106">
        <v>50.880508029433038</v>
      </c>
      <c r="AX73" s="106">
        <v>63.387100563146298</v>
      </c>
      <c r="AY73" s="106">
        <v>207.6423059975896</v>
      </c>
      <c r="AZ73" s="106">
        <v>160.75707086898819</v>
      </c>
      <c r="BA73" s="111">
        <v>5.6098685997525877</v>
      </c>
      <c r="BB73" s="111">
        <v>6.6890563304380963</v>
      </c>
      <c r="BC73" s="111">
        <v>7.8165512015895011</v>
      </c>
      <c r="BD73" s="106"/>
      <c r="BE73" s="111">
        <v>2.5966861370081644</v>
      </c>
      <c r="BF73" s="108">
        <v>0.87814809988320486</v>
      </c>
      <c r="BG73" s="107" t="s">
        <v>139</v>
      </c>
      <c r="BH73" s="108">
        <v>0.26940003549788016</v>
      </c>
      <c r="BI73" s="107" t="s">
        <v>65</v>
      </c>
      <c r="BJ73" s="107" t="s">
        <v>280</v>
      </c>
      <c r="BK73" s="111">
        <v>3.2399895204891118</v>
      </c>
      <c r="BL73" s="111">
        <v>1.2467186623033131</v>
      </c>
      <c r="BM73" s="111"/>
      <c r="BN73" s="106"/>
      <c r="BO73" s="106">
        <v>26.01980784201799</v>
      </c>
      <c r="BP73" s="108">
        <v>0.71036188704234104</v>
      </c>
      <c r="BQ73" s="107" t="s">
        <v>180</v>
      </c>
      <c r="BR73" s="107" t="s">
        <v>125</v>
      </c>
      <c r="BS73" s="104"/>
      <c r="BT73" s="112">
        <v>44.8090019226075</v>
      </c>
      <c r="BU73" s="113">
        <v>0.36970754913547837</v>
      </c>
      <c r="BV73" s="104"/>
      <c r="BW73" s="104" t="s">
        <v>1199</v>
      </c>
    </row>
    <row r="74" spans="38:75" ht="17" thickBot="1">
      <c r="AL74" s="286" t="s">
        <v>1217</v>
      </c>
      <c r="AM74" s="105" t="s">
        <v>72</v>
      </c>
      <c r="AN74" s="106">
        <v>52.118646823239075</v>
      </c>
      <c r="AO74" s="107" t="s">
        <v>1218</v>
      </c>
      <c r="AP74" s="106"/>
      <c r="AQ74" s="106">
        <v>4193.9705289981639</v>
      </c>
      <c r="AR74" s="109">
        <v>55500</v>
      </c>
      <c r="AS74" s="106"/>
      <c r="AT74" s="106">
        <v>148.04980063807309</v>
      </c>
      <c r="AU74" s="110" t="s">
        <v>188</v>
      </c>
      <c r="AV74" s="105" t="s">
        <v>1219</v>
      </c>
      <c r="AW74" s="106">
        <v>54.754337613289806</v>
      </c>
      <c r="AX74" s="106">
        <v>62.207153422478143</v>
      </c>
      <c r="AY74" s="106">
        <v>215.36955287015141</v>
      </c>
      <c r="AZ74" s="106">
        <v>171.20994384851429</v>
      </c>
      <c r="BA74" s="111">
        <v>5.8708962347735225</v>
      </c>
      <c r="BB74" s="111">
        <v>6.1588836579385164</v>
      </c>
      <c r="BC74" s="111">
        <v>6.8301145329584081</v>
      </c>
      <c r="BD74" s="106"/>
      <c r="BE74" s="111">
        <v>2.6092895982575945</v>
      </c>
      <c r="BF74" s="108">
        <v>0.94810254563145102</v>
      </c>
      <c r="BG74" s="107" t="s">
        <v>74</v>
      </c>
      <c r="BH74" s="108">
        <v>0.35802264616266771</v>
      </c>
      <c r="BI74" s="107" t="s">
        <v>1220</v>
      </c>
      <c r="BJ74" s="107" t="s">
        <v>202</v>
      </c>
      <c r="BK74" s="111">
        <v>3.5728179750190878</v>
      </c>
      <c r="BL74" s="111">
        <v>1.3466204928805998</v>
      </c>
      <c r="BM74" s="111"/>
      <c r="BN74" s="106"/>
      <c r="BO74" s="106">
        <v>27.773321367119703</v>
      </c>
      <c r="BP74" s="108">
        <v>0.71960773728685057</v>
      </c>
      <c r="BQ74" s="107" t="s">
        <v>125</v>
      </c>
      <c r="BR74" s="107" t="s">
        <v>124</v>
      </c>
      <c r="BS74" s="104"/>
      <c r="BT74" s="112">
        <v>39.376998901367195</v>
      </c>
      <c r="BU74" s="113">
        <v>0.34247914381953276</v>
      </c>
      <c r="BV74" s="104"/>
      <c r="BW74" s="104" t="s">
        <v>1200</v>
      </c>
    </row>
    <row r="75" spans="38:75">
      <c r="AL75" s="280" t="s">
        <v>142</v>
      </c>
      <c r="AM75" s="87">
        <v>432.33888603857122</v>
      </c>
      <c r="AN75" s="87">
        <v>403.38315746135692</v>
      </c>
      <c r="AO75" s="87">
        <v>424.52343728495441</v>
      </c>
      <c r="AP75" s="88"/>
      <c r="AQ75" s="87">
        <v>395.07837934522576</v>
      </c>
      <c r="AR75" s="89">
        <v>459</v>
      </c>
      <c r="AS75" s="88"/>
      <c r="AT75" s="87">
        <v>407.45083810581252</v>
      </c>
      <c r="AU75" s="87">
        <v>438.71724374566543</v>
      </c>
      <c r="AV75" s="87">
        <v>438.88018014357249</v>
      </c>
      <c r="AW75" s="87">
        <v>430.45949829011909</v>
      </c>
      <c r="AX75" s="87">
        <v>425.97866139069697</v>
      </c>
      <c r="AY75" s="87">
        <v>431.52137634162546</v>
      </c>
      <c r="AZ75" s="87">
        <v>427.7340818334016</v>
      </c>
      <c r="BA75" s="87">
        <v>334.83030066477096</v>
      </c>
      <c r="BB75" s="87">
        <v>416.24061466976991</v>
      </c>
      <c r="BC75" s="87">
        <v>413.60945629338795</v>
      </c>
      <c r="BD75" s="88"/>
      <c r="BE75" s="90">
        <v>1.4083511441450576</v>
      </c>
      <c r="BF75" s="90">
        <v>1.1104341315497259</v>
      </c>
      <c r="BG75" s="87">
        <v>247.46524223728477</v>
      </c>
      <c r="BH75" s="90">
        <v>1.0582455110413691</v>
      </c>
      <c r="BI75" s="87">
        <v>418.86946962336378</v>
      </c>
      <c r="BJ75" s="87">
        <v>383.37951624463045</v>
      </c>
      <c r="BK75" s="87">
        <v>437.4849904437873</v>
      </c>
      <c r="BL75" s="87">
        <v>51.760939857390348</v>
      </c>
      <c r="BM75" s="88"/>
      <c r="BN75" s="88"/>
      <c r="BO75" s="90">
        <v>2.7126648807055989</v>
      </c>
      <c r="BP75" s="87">
        <v>24.288342154643587</v>
      </c>
      <c r="BQ75" s="87">
        <v>414.77625886319549</v>
      </c>
      <c r="BR75" s="87">
        <v>346.21943694902916</v>
      </c>
      <c r="BS75" s="91"/>
      <c r="BT75" s="92">
        <v>44.130002975463896</v>
      </c>
      <c r="BU75" s="93">
        <v>0.90132177611828423</v>
      </c>
      <c r="BV75" s="91"/>
      <c r="BW75" s="94" t="s">
        <v>1204</v>
      </c>
    </row>
    <row r="76" spans="38:75" ht="17" thickBot="1">
      <c r="AL76" s="283" t="s">
        <v>143</v>
      </c>
      <c r="AM76" s="96">
        <v>468.15371147307286</v>
      </c>
      <c r="AN76" s="96">
        <v>413.12926908896344</v>
      </c>
      <c r="AO76" s="96">
        <v>463.98503783204893</v>
      </c>
      <c r="AP76" s="97"/>
      <c r="AQ76" s="96">
        <v>425.41852332613399</v>
      </c>
      <c r="AR76" s="98">
        <v>459</v>
      </c>
      <c r="AS76" s="97"/>
      <c r="AT76" s="96">
        <v>474.98627576133418</v>
      </c>
      <c r="AU76" s="96">
        <v>481.76688887538995</v>
      </c>
      <c r="AV76" s="96">
        <v>481.60150555679019</v>
      </c>
      <c r="AW76" s="96">
        <v>436.09268511039249</v>
      </c>
      <c r="AX76" s="96">
        <v>440.56091164796931</v>
      </c>
      <c r="AY76" s="96">
        <v>462.98430916121737</v>
      </c>
      <c r="AZ76" s="96">
        <v>466.75112378231938</v>
      </c>
      <c r="BA76" s="96">
        <v>315.62677603338415</v>
      </c>
      <c r="BB76" s="96">
        <v>418.30035940694228</v>
      </c>
      <c r="BC76" s="96">
        <v>420.91688196718303</v>
      </c>
      <c r="BD76" s="97"/>
      <c r="BE76" s="99">
        <v>1.1732045122995367</v>
      </c>
      <c r="BF76" s="97">
        <v>0.989818285442576</v>
      </c>
      <c r="BG76" s="96">
        <v>254.85101756064654</v>
      </c>
      <c r="BH76" s="99">
        <v>1.0431254217209158</v>
      </c>
      <c r="BI76" s="96">
        <v>441.63700370825427</v>
      </c>
      <c r="BJ76" s="96">
        <v>409.04424757027653</v>
      </c>
      <c r="BK76" s="96">
        <v>451.05792423554806</v>
      </c>
      <c r="BL76" s="96">
        <v>46.307225608033178</v>
      </c>
      <c r="BM76" s="97"/>
      <c r="BN76" s="97"/>
      <c r="BO76" s="99">
        <v>3.5878006417975996</v>
      </c>
      <c r="BP76" s="96">
        <v>19.934838945867572</v>
      </c>
      <c r="BQ76" s="96">
        <v>437.72310446455049</v>
      </c>
      <c r="BR76" s="96">
        <v>369.58354289824814</v>
      </c>
      <c r="BS76" s="100"/>
      <c r="BT76" s="101">
        <v>41.413999557495096</v>
      </c>
      <c r="BU76" s="102">
        <v>0.79202113208746316</v>
      </c>
      <c r="BV76" s="100"/>
      <c r="BW76" s="103" t="s">
        <v>1208</v>
      </c>
    </row>
    <row r="77" spans="38:75">
      <c r="AL77" s="79"/>
      <c r="AM77" s="74"/>
      <c r="AN77" s="74"/>
      <c r="AO77" s="74"/>
      <c r="AP77" s="74"/>
      <c r="AQ77" s="74"/>
      <c r="AR77" s="80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</row>
    <row r="78" spans="38:75" ht="17" thickBot="1">
      <c r="AL78" s="79" t="s">
        <v>145</v>
      </c>
      <c r="AM78" s="83">
        <v>10</v>
      </c>
      <c r="AN78" s="83">
        <v>23</v>
      </c>
      <c r="AO78" s="83">
        <v>10</v>
      </c>
      <c r="AP78" s="83">
        <v>937000</v>
      </c>
      <c r="AQ78" s="83">
        <v>4600</v>
      </c>
      <c r="AR78" s="671">
        <v>55000</v>
      </c>
      <c r="AS78" s="83">
        <v>55000</v>
      </c>
      <c r="AT78" s="83">
        <v>145</v>
      </c>
      <c r="AU78" s="82">
        <v>0.34</v>
      </c>
      <c r="AV78" s="82">
        <v>0.34</v>
      </c>
      <c r="AW78" s="83">
        <v>58</v>
      </c>
      <c r="AX78" s="83">
        <v>58</v>
      </c>
      <c r="AY78" s="83">
        <v>177</v>
      </c>
      <c r="AZ78" s="83">
        <v>177</v>
      </c>
      <c r="BA78" s="171">
        <v>4.3</v>
      </c>
      <c r="BB78" s="171">
        <v>6.4</v>
      </c>
      <c r="BC78" s="171">
        <v>6.4</v>
      </c>
      <c r="BD78" s="171">
        <v>20</v>
      </c>
      <c r="BE78" s="171">
        <v>2.1</v>
      </c>
      <c r="BF78" s="171">
        <v>1.43</v>
      </c>
      <c r="BG78" s="171">
        <v>1</v>
      </c>
      <c r="BH78" s="171" t="s">
        <v>94</v>
      </c>
      <c r="BI78" s="171" t="s">
        <v>94</v>
      </c>
      <c r="BJ78" s="171" t="s">
        <v>94</v>
      </c>
      <c r="BK78" s="171">
        <v>2.85</v>
      </c>
      <c r="BL78" s="171">
        <v>1.1399999999999999</v>
      </c>
      <c r="BM78" s="171">
        <v>9.44</v>
      </c>
      <c r="BN78" s="171">
        <v>15.1</v>
      </c>
      <c r="BO78" s="171">
        <v>30.1</v>
      </c>
      <c r="BP78" s="171">
        <v>0.66</v>
      </c>
      <c r="BQ78" s="171" t="s">
        <v>94</v>
      </c>
      <c r="BR78" s="171" t="s">
        <v>94</v>
      </c>
      <c r="BS78" s="74"/>
      <c r="BT78" s="74"/>
      <c r="BU78" s="74"/>
      <c r="BV78" s="74"/>
      <c r="BW78" s="74"/>
    </row>
    <row r="79" spans="38:75">
      <c r="AL79" s="79"/>
      <c r="AM79" s="171" t="s">
        <v>94</v>
      </c>
      <c r="AN79" s="171" t="s">
        <v>94</v>
      </c>
      <c r="AO79" s="171" t="s">
        <v>94</v>
      </c>
      <c r="AP79" s="171" t="s">
        <v>94</v>
      </c>
      <c r="AQ79" s="171" t="s">
        <v>94</v>
      </c>
      <c r="AR79" s="171" t="s">
        <v>94</v>
      </c>
      <c r="AS79" s="171" t="s">
        <v>94</v>
      </c>
      <c r="AT79" s="171" t="s">
        <v>94</v>
      </c>
      <c r="AU79" s="171" t="s">
        <v>94</v>
      </c>
      <c r="AV79" s="171" t="s">
        <v>94</v>
      </c>
      <c r="AW79" s="171" t="s">
        <v>94</v>
      </c>
      <c r="AX79" s="171" t="s">
        <v>94</v>
      </c>
      <c r="AY79" s="171" t="s">
        <v>94</v>
      </c>
      <c r="AZ79" s="171" t="s">
        <v>94</v>
      </c>
      <c r="BA79" s="171" t="s">
        <v>94</v>
      </c>
      <c r="BB79" s="171" t="s">
        <v>94</v>
      </c>
      <c r="BC79" s="171" t="s">
        <v>94</v>
      </c>
      <c r="BD79" s="171" t="s">
        <v>94</v>
      </c>
      <c r="BE79" s="171" t="s">
        <v>94</v>
      </c>
      <c r="BF79" s="171" t="s">
        <v>94</v>
      </c>
      <c r="BG79" s="171" t="s">
        <v>94</v>
      </c>
      <c r="BH79" s="171" t="s">
        <v>94</v>
      </c>
      <c r="BI79" s="171" t="s">
        <v>94</v>
      </c>
      <c r="BJ79" s="171" t="s">
        <v>94</v>
      </c>
      <c r="BK79" s="171" t="s">
        <v>94</v>
      </c>
      <c r="BL79" s="171" t="s">
        <v>94</v>
      </c>
      <c r="BM79" s="171" t="s">
        <v>94</v>
      </c>
      <c r="BN79" s="171" t="s">
        <v>94</v>
      </c>
      <c r="BO79" s="171" t="s">
        <v>94</v>
      </c>
      <c r="BP79" s="171" t="s">
        <v>94</v>
      </c>
      <c r="BQ79" s="171" t="s">
        <v>94</v>
      </c>
      <c r="BR79" s="171" t="s">
        <v>94</v>
      </c>
      <c r="BS79" s="74"/>
      <c r="BT79" s="74"/>
      <c r="BU79" s="74"/>
      <c r="BV79" s="74"/>
      <c r="BW79" s="7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BH72"/>
  <sheetViews>
    <sheetView zoomScale="113" zoomScaleNormal="90" workbookViewId="0">
      <selection activeCell="I35" sqref="I35"/>
    </sheetView>
  </sheetViews>
  <sheetFormatPr baseColWidth="10" defaultColWidth="11.6640625" defaultRowHeight="16"/>
  <cols>
    <col min="1" max="3" width="11.6640625" style="306"/>
    <col min="4" max="4" width="14.6640625" style="306" customWidth="1"/>
    <col min="5" max="5" width="12.6640625" style="306" customWidth="1"/>
    <col min="6" max="6" width="16.33203125" style="306" customWidth="1"/>
    <col min="7" max="7" width="12" style="306" customWidth="1"/>
    <col min="8" max="16" width="15.5" style="306" customWidth="1"/>
    <col min="17" max="19" width="15.33203125" style="306" customWidth="1"/>
    <col min="20" max="20" width="16.5" style="306" customWidth="1"/>
    <col min="21" max="21" width="12.6640625" style="306" customWidth="1"/>
    <col min="22" max="16384" width="11.6640625" style="306"/>
  </cols>
  <sheetData>
    <row r="1" spans="1:60" ht="17">
      <c r="A1" s="445" t="s">
        <v>495</v>
      </c>
      <c r="B1" s="445" t="s">
        <v>494</v>
      </c>
      <c r="C1" s="306" t="s">
        <v>493</v>
      </c>
      <c r="D1" s="306" t="s">
        <v>492</v>
      </c>
      <c r="E1" s="306" t="s">
        <v>491</v>
      </c>
      <c r="F1" s="306" t="s">
        <v>490</v>
      </c>
      <c r="G1" s="306" t="s">
        <v>489</v>
      </c>
      <c r="H1" s="306" t="s">
        <v>488</v>
      </c>
      <c r="I1" s="306" t="s">
        <v>487</v>
      </c>
      <c r="J1" s="839" t="s">
        <v>1392</v>
      </c>
      <c r="K1" s="306" t="s">
        <v>1353</v>
      </c>
      <c r="L1" s="306" t="s">
        <v>485</v>
      </c>
      <c r="M1" s="306" t="s">
        <v>484</v>
      </c>
      <c r="N1" s="306" t="s">
        <v>483</v>
      </c>
      <c r="O1" s="306" t="s">
        <v>482</v>
      </c>
      <c r="P1" s="306" t="s">
        <v>840</v>
      </c>
      <c r="Q1" s="306" t="s">
        <v>481</v>
      </c>
      <c r="R1" s="306" t="s">
        <v>480</v>
      </c>
      <c r="S1" s="306" t="s">
        <v>479</v>
      </c>
      <c r="T1" s="306" t="s">
        <v>478</v>
      </c>
      <c r="U1" s="839" t="s">
        <v>1353</v>
      </c>
      <c r="W1" s="483"/>
      <c r="X1" s="381" t="s">
        <v>0</v>
      </c>
      <c r="Y1" s="307"/>
      <c r="Z1" s="307"/>
      <c r="AA1" s="373"/>
      <c r="AB1" s="373"/>
      <c r="AC1" s="307"/>
      <c r="AD1" s="578" t="s">
        <v>271</v>
      </c>
      <c r="AE1" s="307"/>
      <c r="AF1" s="307"/>
      <c r="AG1" s="307"/>
      <c r="AH1" s="307"/>
      <c r="AI1" s="307"/>
      <c r="AJ1" s="373"/>
      <c r="AK1" s="373"/>
      <c r="AL1" s="373"/>
      <c r="AM1" s="373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</row>
    <row r="2" spans="1:60" ht="18" thickBot="1">
      <c r="W2" s="380"/>
      <c r="X2" s="307" t="s">
        <v>812</v>
      </c>
      <c r="Y2" s="307"/>
      <c r="Z2" s="307"/>
      <c r="AA2" s="307"/>
      <c r="AB2" s="373"/>
      <c r="AC2" s="307"/>
      <c r="AD2" s="307"/>
      <c r="AE2" s="307"/>
      <c r="AF2" s="307"/>
      <c r="AG2" s="379"/>
      <c r="AH2" s="378">
        <v>43783.476736111108</v>
      </c>
      <c r="AI2" s="307"/>
      <c r="AJ2" s="379"/>
      <c r="AK2" s="378"/>
      <c r="AL2" s="373"/>
      <c r="AM2" s="373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</row>
    <row r="3" spans="1:60" ht="17">
      <c r="A3" s="435" t="s">
        <v>313</v>
      </c>
      <c r="B3" s="435" t="s">
        <v>3</v>
      </c>
      <c r="C3" s="405"/>
      <c r="D3" s="405"/>
      <c r="E3" s="434">
        <f>AVERAGE(X$57:X$61)</f>
        <v>5.2088847586661062</v>
      </c>
      <c r="F3" s="434">
        <f>STDEV(X$57:X$61)</f>
        <v>5.7689591808360072</v>
      </c>
      <c r="G3" s="434">
        <f>AVERAGE(X$62:X$66)</f>
        <v>1.1183452810323999</v>
      </c>
      <c r="H3" s="434">
        <f>STDEV(X$62:X$66)</f>
        <v>0.74221058182505639</v>
      </c>
      <c r="I3" s="405">
        <f t="shared" ref="I3:I34" si="0">C3/G3</f>
        <v>0</v>
      </c>
      <c r="J3" s="571" t="e">
        <f t="shared" ref="J3:J34" si="1">I3*(SQRT((D3/C3)^2)+((H3/G3)^2))</f>
        <v>#DIV/0!</v>
      </c>
      <c r="K3" s="571" t="e" cm="1">
        <f t="array" ref="K3:K34">2*(J3:J34)</f>
        <v>#DIV/0!</v>
      </c>
      <c r="L3" s="435">
        <v>0.56999999999999995</v>
      </c>
      <c r="M3" s="433">
        <v>3</v>
      </c>
      <c r="N3" s="778">
        <v>0.43049999999999999</v>
      </c>
      <c r="O3" s="570">
        <f t="shared" ref="O3:O34" si="2">(1-(2*N3))/(1-N3)</f>
        <v>0.2440737489025461</v>
      </c>
      <c r="P3" s="842">
        <f t="shared" ref="P3:P34" si="3">L3*((O3)^M3)</f>
        <v>8.2877772716275239E-3</v>
      </c>
      <c r="Q3" s="570">
        <f t="shared" ref="Q3:Q34" si="4">I3/P3</f>
        <v>0</v>
      </c>
      <c r="R3" s="570" t="e">
        <f t="shared" ref="R3:R34" si="5">Q3*(J3/I3)</f>
        <v>#DIV/0!</v>
      </c>
      <c r="S3" s="571">
        <f>C3/E3</f>
        <v>0</v>
      </c>
      <c r="T3" s="571" t="e">
        <f>S3*(SQRT((D3/C3)^2+(F3/E3)^2))</f>
        <v>#DIV/0!</v>
      </c>
      <c r="U3" s="813" t="e" cm="1">
        <f t="array" ref="U3:U34">2*T3:T34</f>
        <v>#DIV/0!</v>
      </c>
      <c r="W3" s="309" t="s">
        <v>2</v>
      </c>
      <c r="X3" s="375" t="s">
        <v>3</v>
      </c>
      <c r="Y3" s="375" t="s">
        <v>4</v>
      </c>
      <c r="Z3" s="375" t="s">
        <v>5</v>
      </c>
      <c r="AA3" s="375" t="s">
        <v>6</v>
      </c>
      <c r="AB3" s="375" t="s">
        <v>7</v>
      </c>
      <c r="AC3" s="377" t="s">
        <v>8</v>
      </c>
      <c r="AD3" s="375" t="s">
        <v>8</v>
      </c>
      <c r="AE3" s="375" t="s">
        <v>9</v>
      </c>
      <c r="AF3" s="375" t="s">
        <v>10</v>
      </c>
      <c r="AG3" s="375" t="s">
        <v>10</v>
      </c>
      <c r="AH3" s="375" t="s">
        <v>11</v>
      </c>
      <c r="AI3" s="375" t="s">
        <v>11</v>
      </c>
      <c r="AJ3" s="375" t="s">
        <v>12</v>
      </c>
      <c r="AK3" s="375" t="s">
        <v>12</v>
      </c>
      <c r="AL3" s="375" t="s">
        <v>13</v>
      </c>
      <c r="AM3" s="375" t="s">
        <v>14</v>
      </c>
      <c r="AN3" s="375" t="s">
        <v>14</v>
      </c>
      <c r="AO3" s="375" t="s">
        <v>15</v>
      </c>
      <c r="AP3" s="375" t="s">
        <v>16</v>
      </c>
      <c r="AQ3" s="375" t="s">
        <v>17</v>
      </c>
      <c r="AR3" s="375" t="s">
        <v>18</v>
      </c>
      <c r="AS3" s="375" t="s">
        <v>17</v>
      </c>
      <c r="AT3" s="375" t="s">
        <v>19</v>
      </c>
      <c r="AU3" s="375" t="s">
        <v>20</v>
      </c>
      <c r="AV3" s="375" t="s">
        <v>21</v>
      </c>
      <c r="AW3" s="375" t="s">
        <v>22</v>
      </c>
      <c r="AX3" s="375" t="s">
        <v>23</v>
      </c>
      <c r="AY3" s="375" t="s">
        <v>24</v>
      </c>
      <c r="AZ3" s="375" t="s">
        <v>25</v>
      </c>
      <c r="BA3" s="375" t="s">
        <v>26</v>
      </c>
      <c r="BB3" s="375" t="s">
        <v>27</v>
      </c>
      <c r="BC3" s="375" t="s">
        <v>28</v>
      </c>
      <c r="BD3" s="307"/>
      <c r="BE3" s="375" t="s">
        <v>29</v>
      </c>
      <c r="BF3" s="375" t="s">
        <v>30</v>
      </c>
      <c r="BG3" s="375"/>
      <c r="BH3" s="375" t="s">
        <v>31</v>
      </c>
    </row>
    <row r="4" spans="1:60" ht="17">
      <c r="A4" s="435" t="s">
        <v>313</v>
      </c>
      <c r="B4" s="435" t="s">
        <v>4</v>
      </c>
      <c r="C4" s="405"/>
      <c r="D4" s="405"/>
      <c r="E4" s="434">
        <f>AVERAGE(Y$57:Y$61)</f>
        <v>12.00391233153473</v>
      </c>
      <c r="F4" s="434">
        <f>STDEV(Y$57:Y$61)</f>
        <v>6.6824375932537077</v>
      </c>
      <c r="G4" s="405"/>
      <c r="H4" s="405"/>
      <c r="I4" s="405" t="e">
        <f t="shared" si="0"/>
        <v>#DIV/0!</v>
      </c>
      <c r="J4" s="571" t="e">
        <f t="shared" si="1"/>
        <v>#DIV/0!</v>
      </c>
      <c r="K4" s="571" t="e">
        <v>#DIV/0!</v>
      </c>
      <c r="L4" s="435">
        <v>0.81</v>
      </c>
      <c r="M4" s="433">
        <v>1.66</v>
      </c>
      <c r="N4" s="778">
        <v>0.43049999999999999</v>
      </c>
      <c r="O4" s="570">
        <f t="shared" si="2"/>
        <v>0.2440737489025461</v>
      </c>
      <c r="P4" s="842">
        <f t="shared" si="3"/>
        <v>7.7941722271683431E-2</v>
      </c>
      <c r="Q4" s="570" t="e">
        <f t="shared" si="4"/>
        <v>#DIV/0!</v>
      </c>
      <c r="R4" s="570" t="e">
        <f t="shared" si="5"/>
        <v>#DIV/0!</v>
      </c>
      <c r="S4" s="571">
        <f>C4/E4</f>
        <v>0</v>
      </c>
      <c r="T4" s="571" t="e">
        <f>S4*(SQRT((D4/C4)^2+(F4/E4)^2))</f>
        <v>#DIV/0!</v>
      </c>
      <c r="U4" s="813" t="e">
        <v>#DIV/0!</v>
      </c>
      <c r="W4" s="309" t="s">
        <v>32</v>
      </c>
      <c r="X4" s="307">
        <v>51</v>
      </c>
      <c r="Y4" s="307">
        <v>53</v>
      </c>
      <c r="Z4" s="307">
        <v>55</v>
      </c>
      <c r="AA4" s="307">
        <v>57</v>
      </c>
      <c r="AB4" s="307">
        <v>59</v>
      </c>
      <c r="AC4" s="370">
        <v>61</v>
      </c>
      <c r="AD4" s="307">
        <v>62</v>
      </c>
      <c r="AE4" s="307">
        <v>63</v>
      </c>
      <c r="AF4" s="307">
        <v>66</v>
      </c>
      <c r="AG4" s="307">
        <v>67</v>
      </c>
      <c r="AH4" s="307">
        <v>69</v>
      </c>
      <c r="AI4" s="307">
        <v>71</v>
      </c>
      <c r="AJ4" s="307">
        <v>72</v>
      </c>
      <c r="AK4" s="307">
        <v>73</v>
      </c>
      <c r="AL4" s="307">
        <v>75</v>
      </c>
      <c r="AM4" s="307">
        <v>95</v>
      </c>
      <c r="AN4" s="307">
        <v>97</v>
      </c>
      <c r="AO4" s="307">
        <v>101</v>
      </c>
      <c r="AP4" s="307">
        <v>103</v>
      </c>
      <c r="AQ4" s="307">
        <v>105</v>
      </c>
      <c r="AR4" s="307">
        <v>107</v>
      </c>
      <c r="AS4" s="307">
        <v>108</v>
      </c>
      <c r="AT4" s="307">
        <v>118</v>
      </c>
      <c r="AU4" s="307">
        <v>121</v>
      </c>
      <c r="AV4" s="307">
        <v>184</v>
      </c>
      <c r="AW4" s="307">
        <v>185</v>
      </c>
      <c r="AX4" s="307">
        <v>189</v>
      </c>
      <c r="AY4" s="307">
        <v>193</v>
      </c>
      <c r="AZ4" s="307">
        <v>195</v>
      </c>
      <c r="BA4" s="307">
        <v>197</v>
      </c>
      <c r="BB4" s="307">
        <v>208</v>
      </c>
      <c r="BC4" s="307">
        <v>209</v>
      </c>
      <c r="BD4" s="307"/>
      <c r="BE4" s="375" t="s">
        <v>33</v>
      </c>
      <c r="BF4" s="375" t="s">
        <v>34</v>
      </c>
      <c r="BG4" s="307"/>
      <c r="BH4" s="307"/>
    </row>
    <row r="5" spans="1:60" ht="17">
      <c r="A5" s="435" t="s">
        <v>313</v>
      </c>
      <c r="B5" s="435" t="s">
        <v>5</v>
      </c>
      <c r="C5" s="405"/>
      <c r="D5" s="405"/>
      <c r="E5" s="434">
        <f>AVERAGE(Z$57:Z$61)</f>
        <v>729.69529386712031</v>
      </c>
      <c r="F5" s="434">
        <f>STDEV(Z$57:Z$61)</f>
        <v>21.357124047146876</v>
      </c>
      <c r="G5" s="434">
        <f>AVERAGE(Z$62:Z$66)</f>
        <v>298.01105133375466</v>
      </c>
      <c r="H5" s="434">
        <f>STDEV(Z$62:Z$66)</f>
        <v>187.83606634689838</v>
      </c>
      <c r="I5" s="405">
        <f t="shared" si="0"/>
        <v>0</v>
      </c>
      <c r="J5" s="571" t="e">
        <f t="shared" si="1"/>
        <v>#DIV/0!</v>
      </c>
      <c r="K5" s="571" t="e">
        <v>#DIV/0!</v>
      </c>
      <c r="L5" s="435"/>
      <c r="M5" s="433"/>
      <c r="N5" s="778">
        <v>0.43049999999999999</v>
      </c>
      <c r="O5" s="570">
        <f t="shared" si="2"/>
        <v>0.2440737489025461</v>
      </c>
      <c r="P5" s="842">
        <f t="shared" si="3"/>
        <v>0</v>
      </c>
      <c r="Q5" s="570" t="e">
        <f t="shared" si="4"/>
        <v>#DIV/0!</v>
      </c>
      <c r="R5" s="570" t="e">
        <f t="shared" si="5"/>
        <v>#DIV/0!</v>
      </c>
      <c r="S5" s="571">
        <f>C5/E5</f>
        <v>0</v>
      </c>
      <c r="T5" s="571" t="e">
        <f>S5*(SQRT((D5/C5)^2+(F5/E5)^2))</f>
        <v>#DIV/0!</v>
      </c>
      <c r="U5" s="813" t="e">
        <v>#DIV/0!</v>
      </c>
      <c r="W5" s="309"/>
      <c r="X5" s="375" t="s">
        <v>35</v>
      </c>
      <c r="Y5" s="375" t="s">
        <v>35</v>
      </c>
      <c r="Z5" s="375" t="s">
        <v>35</v>
      </c>
      <c r="AA5" s="375" t="s">
        <v>35</v>
      </c>
      <c r="AB5" s="375" t="s">
        <v>35</v>
      </c>
      <c r="AC5" s="376" t="s">
        <v>35</v>
      </c>
      <c r="AD5" s="375" t="s">
        <v>35</v>
      </c>
      <c r="AE5" s="375" t="s">
        <v>35</v>
      </c>
      <c r="AF5" s="375" t="s">
        <v>35</v>
      </c>
      <c r="AG5" s="375" t="s">
        <v>35</v>
      </c>
      <c r="AH5" s="375" t="s">
        <v>35</v>
      </c>
      <c r="AI5" s="375" t="s">
        <v>35</v>
      </c>
      <c r="AJ5" s="375" t="s">
        <v>35</v>
      </c>
      <c r="AK5" s="375" t="s">
        <v>35</v>
      </c>
      <c r="AL5" s="375" t="s">
        <v>35</v>
      </c>
      <c r="AM5" s="375" t="s">
        <v>35</v>
      </c>
      <c r="AN5" s="375" t="s">
        <v>35</v>
      </c>
      <c r="AO5" s="375" t="s">
        <v>35</v>
      </c>
      <c r="AP5" s="375" t="s">
        <v>35</v>
      </c>
      <c r="AQ5" s="375" t="s">
        <v>35</v>
      </c>
      <c r="AR5" s="375" t="s">
        <v>35</v>
      </c>
      <c r="AS5" s="375" t="s">
        <v>35</v>
      </c>
      <c r="AT5" s="375" t="s">
        <v>35</v>
      </c>
      <c r="AU5" s="375" t="s">
        <v>35</v>
      </c>
      <c r="AV5" s="375" t="s">
        <v>35</v>
      </c>
      <c r="AW5" s="375" t="s">
        <v>35</v>
      </c>
      <c r="AX5" s="375" t="s">
        <v>35</v>
      </c>
      <c r="AY5" s="375" t="s">
        <v>35</v>
      </c>
      <c r="AZ5" s="375" t="s">
        <v>35</v>
      </c>
      <c r="BA5" s="375" t="s">
        <v>35</v>
      </c>
      <c r="BB5" s="375" t="s">
        <v>35</v>
      </c>
      <c r="BC5" s="375" t="s">
        <v>35</v>
      </c>
      <c r="BD5" s="307"/>
      <c r="BE5" s="307"/>
      <c r="BF5" s="307"/>
      <c r="BG5" s="307"/>
      <c r="BH5" s="307"/>
    </row>
    <row r="6" spans="1:60" ht="17">
      <c r="A6" s="435" t="s">
        <v>839</v>
      </c>
      <c r="B6" s="435" t="s">
        <v>6</v>
      </c>
      <c r="C6" s="405" t="e">
        <f>AVERAGE(AA$52:AA$56)</f>
        <v>#DIV/0!</v>
      </c>
      <c r="D6" s="405" t="e">
        <f>STDEV(AA$52:AA$56)</f>
        <v>#DIV/0!</v>
      </c>
      <c r="E6" s="405" t="e">
        <f>AVERAGE(AA$57:AA$61)</f>
        <v>#DIV/0!</v>
      </c>
      <c r="F6" s="405" t="e">
        <f>STDEV(AA$57:AA$61)</f>
        <v>#DIV/0!</v>
      </c>
      <c r="G6" s="405" t="e">
        <f>AVERAGE(AA$62:AA$66)</f>
        <v>#DIV/0!</v>
      </c>
      <c r="H6" s="405" t="e">
        <f>STDEV(AA$62:AA$66)</f>
        <v>#DIV/0!</v>
      </c>
      <c r="I6" s="720">
        <f>F41/B41</f>
        <v>1.1269481336748255</v>
      </c>
      <c r="J6" s="573">
        <f>I6*(SQRT((G41/F41)^2)+((C41/B41)^2))</f>
        <v>2.1253580896239726E-2</v>
      </c>
      <c r="K6" s="573">
        <v>4.2507161792479452E-2</v>
      </c>
      <c r="L6" s="435"/>
      <c r="M6" s="433"/>
      <c r="N6" s="778">
        <v>0.43049999999999999</v>
      </c>
      <c r="O6" s="570">
        <f t="shared" si="2"/>
        <v>0.2440737489025461</v>
      </c>
      <c r="P6" s="842">
        <f t="shared" si="3"/>
        <v>0</v>
      </c>
      <c r="Q6" s="570" t="e">
        <f t="shared" si="4"/>
        <v>#DIV/0!</v>
      </c>
      <c r="R6" s="570" t="e">
        <f t="shared" si="5"/>
        <v>#DIV/0!</v>
      </c>
      <c r="S6" s="573">
        <f>F41/D41</f>
        <v>0.8820288712970592</v>
      </c>
      <c r="T6" s="573">
        <f>S6*(SQRT((G41/F41)^2+(E41/D41)^2))</f>
        <v>1.4134943783488811E-2</v>
      </c>
      <c r="U6" s="573">
        <v>2.8269887566977622E-2</v>
      </c>
      <c r="W6" s="309"/>
      <c r="X6" s="373"/>
      <c r="Y6" s="373"/>
      <c r="Z6" s="373"/>
      <c r="AA6" s="373"/>
      <c r="AB6" s="373"/>
      <c r="AC6" s="374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</row>
    <row r="7" spans="1:60" ht="17">
      <c r="A7" s="577" t="s">
        <v>313</v>
      </c>
      <c r="B7" s="577" t="s">
        <v>7</v>
      </c>
      <c r="C7" s="434">
        <f>AVERAGE(AB$52:AB$56)</f>
        <v>490.84438220391621</v>
      </c>
      <c r="D7" s="434">
        <f>STDEV(AB$52:AB$56)</f>
        <v>18.414402658257977</v>
      </c>
      <c r="E7" s="434">
        <f>AVERAGE(AB$57:AB$61)</f>
        <v>106.75806530444656</v>
      </c>
      <c r="F7" s="434">
        <f>STDEV(AB$57:AB$61)</f>
        <v>3.2505932118495346</v>
      </c>
      <c r="G7" s="434">
        <f>AVERAGE(AB$62:AB$66)</f>
        <v>429.93770265319728</v>
      </c>
      <c r="H7" s="434">
        <f>STDEV(AB$62:AB$66)</f>
        <v>258.44893997955882</v>
      </c>
      <c r="I7" s="434">
        <f t="shared" si="0"/>
        <v>1.1416639647438604</v>
      </c>
      <c r="J7" s="570">
        <f t="shared" si="1"/>
        <v>0.45538053927044192</v>
      </c>
      <c r="K7" s="570">
        <v>0.91076107854088384</v>
      </c>
      <c r="L7" s="577">
        <v>0.95</v>
      </c>
      <c r="M7" s="576">
        <v>-1.26</v>
      </c>
      <c r="N7" s="778">
        <v>0.43049999999999999</v>
      </c>
      <c r="O7" s="570">
        <f t="shared" si="2"/>
        <v>0.2440737489025461</v>
      </c>
      <c r="P7" s="433">
        <f t="shared" si="3"/>
        <v>5.6162580587823587</v>
      </c>
      <c r="Q7" s="570">
        <f t="shared" si="4"/>
        <v>0.20327840223769572</v>
      </c>
      <c r="R7" s="570">
        <f t="shared" si="5"/>
        <v>8.1082552565109753E-2</v>
      </c>
      <c r="S7" s="570">
        <f>C7/E7</f>
        <v>4.5977264650137126</v>
      </c>
      <c r="T7" s="570">
        <f>S7*(SQRT((D7/C7)^2+(F7/E7)^2))</f>
        <v>0.22214808068785635</v>
      </c>
      <c r="U7" s="573">
        <v>0.44429616137571271</v>
      </c>
      <c r="W7" s="309" t="s">
        <v>36</v>
      </c>
      <c r="X7" s="308">
        <v>54.3</v>
      </c>
      <c r="Y7" s="311">
        <v>2646</v>
      </c>
      <c r="Z7" s="311">
        <v>1933</v>
      </c>
      <c r="AA7" s="311">
        <v>184300</v>
      </c>
      <c r="AB7" s="311">
        <v>506</v>
      </c>
      <c r="AC7" s="372">
        <v>10770</v>
      </c>
      <c r="AD7" s="311">
        <v>10770</v>
      </c>
      <c r="AE7" s="311">
        <v>131</v>
      </c>
      <c r="AF7" s="311">
        <v>323</v>
      </c>
      <c r="AG7" s="311">
        <v>323</v>
      </c>
      <c r="AH7" s="310">
        <v>9.7100000000000009</v>
      </c>
      <c r="AI7" s="310">
        <v>9.7100000000000009</v>
      </c>
      <c r="AJ7" s="308">
        <v>32.6</v>
      </c>
      <c r="AK7" s="308">
        <v>32.6</v>
      </c>
      <c r="AL7" s="310">
        <v>1.81</v>
      </c>
      <c r="AM7" s="310">
        <v>0.92800000000000005</v>
      </c>
      <c r="AN7" s="310">
        <v>0.92800000000000005</v>
      </c>
      <c r="AO7" s="310">
        <v>0.68300000000000005</v>
      </c>
      <c r="AP7" s="310">
        <v>0.14000000000000001</v>
      </c>
      <c r="AQ7" s="310">
        <v>0.55600000000000005</v>
      </c>
      <c r="AR7" s="310">
        <v>0.19700000000000001</v>
      </c>
      <c r="AS7" s="310">
        <v>0.55600000000000005</v>
      </c>
      <c r="AT7" s="310">
        <v>1.68</v>
      </c>
      <c r="AU7" s="310">
        <v>0.13300000000000001</v>
      </c>
      <c r="AV7" s="310">
        <v>9.0300000000000005E-2</v>
      </c>
      <c r="AW7" s="310">
        <v>3.95E-2</v>
      </c>
      <c r="AX7" s="310">
        <v>0.50600000000000001</v>
      </c>
      <c r="AY7" s="310">
        <v>0.48</v>
      </c>
      <c r="AZ7" s="310">
        <v>0.98199999999999998</v>
      </c>
      <c r="BA7" s="310">
        <v>0.14799999999999999</v>
      </c>
      <c r="BB7" s="310">
        <v>2.5299999999999998</v>
      </c>
      <c r="BC7" s="310">
        <v>0.111</v>
      </c>
      <c r="BD7" s="307"/>
      <c r="BE7" s="307"/>
      <c r="BF7" s="307"/>
      <c r="BG7" s="307"/>
      <c r="BH7" s="307"/>
    </row>
    <row r="8" spans="1:60" ht="17">
      <c r="A8" s="577" t="s">
        <v>313</v>
      </c>
      <c r="B8" s="577" t="s">
        <v>477</v>
      </c>
      <c r="C8" s="434">
        <f>AVERAGE(AC$52:AC$56)</f>
        <v>218000</v>
      </c>
      <c r="D8" s="434">
        <f>STDEV(AC$52:AC$56)</f>
        <v>0</v>
      </c>
      <c r="E8" s="434">
        <f>AVERAGE(AC$57:AC$61)</f>
        <v>18500</v>
      </c>
      <c r="F8" s="434">
        <f>STDEV(AC$57:AC$61)</f>
        <v>0</v>
      </c>
      <c r="G8" s="434">
        <f>AVERAGE(AC$62:AC$66)</f>
        <v>283510.11127012991</v>
      </c>
      <c r="H8" s="434">
        <f>STDEV(AC$62:AC$66)</f>
        <v>172276.66486492709</v>
      </c>
      <c r="I8" s="434">
        <f>F42/B42</f>
        <v>2.1059958446344367</v>
      </c>
      <c r="J8" s="570">
        <f>I8*(SQRT((G42/F42)^2)+((C42/B42)^2))</f>
        <v>0.13605461701347485</v>
      </c>
      <c r="K8" s="570">
        <v>0.2721092340269497</v>
      </c>
      <c r="L8" s="577">
        <v>0.874</v>
      </c>
      <c r="M8" s="576">
        <v>-0.51700000000000002</v>
      </c>
      <c r="N8" s="778">
        <v>0.43049999999999999</v>
      </c>
      <c r="O8" s="570">
        <f t="shared" si="2"/>
        <v>0.2440737489025461</v>
      </c>
      <c r="P8" s="433">
        <f t="shared" si="3"/>
        <v>1.8120202154674265</v>
      </c>
      <c r="Q8" s="570">
        <f t="shared" si="4"/>
        <v>1.1622363959616071</v>
      </c>
      <c r="R8" s="570">
        <f t="shared" si="5"/>
        <v>7.5084491802084208E-2</v>
      </c>
      <c r="S8" s="570">
        <f>F42/D42</f>
        <v>24.782114260008996</v>
      </c>
      <c r="T8" s="570">
        <f>S8*(SQRT((G42/F42)^2+(E42/D42)^2))</f>
        <v>1.040610491678081</v>
      </c>
      <c r="U8" s="573">
        <v>2.0812209833561619</v>
      </c>
      <c r="W8" s="309" t="s">
        <v>37</v>
      </c>
      <c r="X8" s="310">
        <v>6.6542692238062235</v>
      </c>
      <c r="Y8" s="310">
        <v>6.2410616504028918E-2</v>
      </c>
      <c r="Z8" s="310">
        <v>-0.92576142399307915</v>
      </c>
      <c r="AA8" s="310">
        <v>17.150808173387627</v>
      </c>
      <c r="AB8" s="310">
        <v>0.18461094357828178</v>
      </c>
      <c r="AC8" s="371">
        <v>2.9737552567366965</v>
      </c>
      <c r="AD8" s="310">
        <v>5.1762322281189563</v>
      </c>
      <c r="AE8" s="310">
        <v>4.0566283863302917E-2</v>
      </c>
      <c r="AF8" s="310">
        <v>6.6217751699871694E-2</v>
      </c>
      <c r="AG8" s="310">
        <v>0.36455680472747432</v>
      </c>
      <c r="AH8" s="310">
        <v>7.0091076604090813E-3</v>
      </c>
      <c r="AI8" s="310">
        <v>1.2671933592064559E-2</v>
      </c>
      <c r="AJ8" s="793">
        <v>0.2266969548959652</v>
      </c>
      <c r="AK8" s="310">
        <v>0.42292483232242933</v>
      </c>
      <c r="AL8" s="310">
        <v>6.1818277432509915E-2</v>
      </c>
      <c r="AM8" s="793">
        <v>8.9225473588947307E-2</v>
      </c>
      <c r="AN8" s="310">
        <v>0.10869845178285942</v>
      </c>
      <c r="AO8" s="310">
        <v>1.3350447953926824E-2</v>
      </c>
      <c r="AP8" s="310">
        <v>3.6445107494325209E-3</v>
      </c>
      <c r="AQ8" s="792">
        <v>7.3101982638190902E-3</v>
      </c>
      <c r="AR8" s="310">
        <v>0.23888378556244147</v>
      </c>
      <c r="AS8" s="310">
        <v>6.4556580060633837E-3</v>
      </c>
      <c r="AT8" s="310"/>
      <c r="AU8" s="310"/>
      <c r="AV8" s="310">
        <v>3.435095108311725E-3</v>
      </c>
      <c r="AW8" s="310">
        <v>0</v>
      </c>
      <c r="AX8" s="310">
        <v>3.1348682529388485E-3</v>
      </c>
      <c r="AY8" s="310">
        <v>4.7943870781637123E-3</v>
      </c>
      <c r="AZ8" s="310">
        <v>0</v>
      </c>
      <c r="BA8" s="310">
        <v>3.5956984785350428E-2</v>
      </c>
      <c r="BB8" s="310"/>
      <c r="BC8" s="310"/>
      <c r="BD8" s="307"/>
      <c r="BE8" s="307"/>
      <c r="BF8" s="307"/>
      <c r="BG8" s="307"/>
      <c r="BH8" s="307"/>
    </row>
    <row r="9" spans="1:60" ht="17">
      <c r="A9" s="577" t="s">
        <v>313</v>
      </c>
      <c r="B9" s="577" t="s">
        <v>475</v>
      </c>
      <c r="C9" s="405" t="e">
        <f>AVERAGE(AD$52:AD$56)</f>
        <v>#DIV/0!</v>
      </c>
      <c r="D9" s="405" t="e">
        <f>STDEV(AD$52:AD$56)</f>
        <v>#DIV/0!</v>
      </c>
      <c r="E9" s="405" t="e">
        <f>AVERAGE(AD$57:AD$61)</f>
        <v>#DIV/0!</v>
      </c>
      <c r="F9" s="405" t="e">
        <f>STDEV(AD$57:AD$61)</f>
        <v>#DIV/0!</v>
      </c>
      <c r="G9" s="434">
        <f>AVERAGE(AD$62:AD$66)</f>
        <v>302433.59722800436</v>
      </c>
      <c r="H9" s="434">
        <f>STDEV(AD$62:AD$66)</f>
        <v>73229.535435660146</v>
      </c>
      <c r="I9" s="720">
        <f>F42/B42</f>
        <v>2.1059958446344367</v>
      </c>
      <c r="J9" s="573">
        <f>I8*(SQRT((G42/F42)^2)+((C42/B42)^2))</f>
        <v>0.13605461701347485</v>
      </c>
      <c r="K9" s="573">
        <v>0.2721092340269497</v>
      </c>
      <c r="L9" s="577">
        <v>0.874</v>
      </c>
      <c r="M9" s="576">
        <v>-0.52</v>
      </c>
      <c r="N9" s="778">
        <v>0.43049999999999999</v>
      </c>
      <c r="O9" s="570">
        <f t="shared" si="2"/>
        <v>0.2440737489025461</v>
      </c>
      <c r="P9" s="433">
        <f t="shared" si="3"/>
        <v>1.8197028500340993</v>
      </c>
      <c r="Q9" s="570">
        <f t="shared" si="4"/>
        <v>1.1573295302554329</v>
      </c>
      <c r="R9" s="570">
        <f t="shared" si="5"/>
        <v>7.4767491302728542E-2</v>
      </c>
      <c r="S9" s="573">
        <f>F42/D42</f>
        <v>24.782114260008996</v>
      </c>
      <c r="T9" s="573">
        <f>S8*(SQRT((G42/F42)^2+(E42/D42)^2))</f>
        <v>1.040610491678081</v>
      </c>
      <c r="U9" s="573">
        <v>2.0812209833561619</v>
      </c>
      <c r="W9" s="309"/>
      <c r="X9" s="307"/>
      <c r="Y9" s="307"/>
      <c r="Z9" s="307"/>
      <c r="AA9" s="307"/>
      <c r="AB9" s="307"/>
      <c r="AC9" s="370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</row>
    <row r="10" spans="1:60" ht="17">
      <c r="A10" s="435" t="s">
        <v>839</v>
      </c>
      <c r="B10" s="435" t="s">
        <v>9</v>
      </c>
      <c r="C10" s="434">
        <f>AVERAGE(AE$52:AE$56)</f>
        <v>147.13756371121161</v>
      </c>
      <c r="D10" s="434">
        <f>STDEV(AE$52:AE$56)</f>
        <v>5.3077245717579826</v>
      </c>
      <c r="E10" s="434">
        <f>AVERAGE(AE$57:AE$61)</f>
        <v>211.50270608343149</v>
      </c>
      <c r="F10" s="434">
        <f>STDEV(AE$57:AE$61)</f>
        <v>6.6491720273336705</v>
      </c>
      <c r="G10" s="434">
        <f>AVERAGE(AE$62:AE$66)</f>
        <v>1824.0644133198607</v>
      </c>
      <c r="H10" s="434">
        <f>STDEV(AE$62:AE$66)</f>
        <v>806.66464190650333</v>
      </c>
      <c r="I10" s="787">
        <f t="shared" si="0"/>
        <v>8.0664675346314177E-2</v>
      </c>
      <c r="J10" s="570">
        <f t="shared" si="1"/>
        <v>1.8685550399179376E-2</v>
      </c>
      <c r="K10" s="570">
        <v>3.7371100798358751E-2</v>
      </c>
      <c r="L10" s="435">
        <v>0.77</v>
      </c>
      <c r="M10" s="433">
        <v>1.39</v>
      </c>
      <c r="N10" s="778">
        <v>0.43049999999999999</v>
      </c>
      <c r="O10" s="570">
        <f t="shared" si="2"/>
        <v>0.2440737489025461</v>
      </c>
      <c r="P10" s="433">
        <f t="shared" si="3"/>
        <v>0.10842889078868087</v>
      </c>
      <c r="Q10" s="570">
        <f t="shared" si="4"/>
        <v>0.74394079621752374</v>
      </c>
      <c r="R10" s="570">
        <f t="shared" si="5"/>
        <v>0.17232999676807539</v>
      </c>
      <c r="S10" s="570">
        <f t="shared" ref="S10:S34" si="6">C10/E10</f>
        <v>0.69567697943859996</v>
      </c>
      <c r="T10" s="570">
        <f t="shared" ref="T10:T34" si="7">S10*(SQRT((D10/C10)^2+(F10/E10)^2))</f>
        <v>3.3288049772183081E-2</v>
      </c>
      <c r="U10" s="573">
        <v>6.6576099544366163E-2</v>
      </c>
      <c r="W10" s="315" t="s">
        <v>838</v>
      </c>
      <c r="X10" s="340"/>
      <c r="Y10" s="338"/>
      <c r="Z10" s="338"/>
      <c r="AA10" s="341" t="s">
        <v>837</v>
      </c>
      <c r="AB10" s="339">
        <v>404.12973281239505</v>
      </c>
      <c r="AC10" s="342">
        <v>459</v>
      </c>
      <c r="AD10" s="453" t="s">
        <v>836</v>
      </c>
      <c r="AE10" s="339">
        <v>393.84081441116183</v>
      </c>
      <c r="AF10" s="339"/>
      <c r="AG10" s="339"/>
      <c r="AH10" s="339">
        <v>408.24118940417577</v>
      </c>
      <c r="AI10" s="339">
        <v>358.90123530433357</v>
      </c>
      <c r="AJ10" s="339">
        <v>289.7666146037709</v>
      </c>
      <c r="AK10" s="339">
        <v>369.67278972299812</v>
      </c>
      <c r="AL10" s="339">
        <v>198.18846691776437</v>
      </c>
      <c r="AM10" s="339">
        <v>352.91868584976424</v>
      </c>
      <c r="AN10" s="339">
        <v>356.68577209973421</v>
      </c>
      <c r="AO10" s="339">
        <v>0</v>
      </c>
      <c r="AP10" s="338">
        <v>0.93681644642060513</v>
      </c>
      <c r="AQ10" s="340">
        <v>7.2606251267199386</v>
      </c>
      <c r="AR10" s="339"/>
      <c r="AS10" s="340">
        <v>5.4690901361409701</v>
      </c>
      <c r="AT10" s="338"/>
      <c r="AU10" s="338"/>
      <c r="AV10" s="339">
        <v>324.63845135316626</v>
      </c>
      <c r="AW10" s="339">
        <v>40.248048413818069</v>
      </c>
      <c r="AX10" s="338">
        <v>3.1658271585394762E-2</v>
      </c>
      <c r="AY10" s="338">
        <v>0.14354583695141493</v>
      </c>
      <c r="AZ10" s="338">
        <v>2.6550874975804719</v>
      </c>
      <c r="BA10" s="339">
        <v>17.203515391985846</v>
      </c>
      <c r="BB10" s="338"/>
      <c r="BC10" s="338"/>
      <c r="BD10" s="336"/>
      <c r="BE10" s="313">
        <v>44.130001068115298</v>
      </c>
      <c r="BF10" s="337">
        <v>3.0648578550720886</v>
      </c>
      <c r="BG10" s="336"/>
      <c r="BH10" s="336" t="s">
        <v>811</v>
      </c>
    </row>
    <row r="11" spans="1:60" ht="18" thickBot="1">
      <c r="A11" s="435" t="s">
        <v>313</v>
      </c>
      <c r="B11" s="435" t="s">
        <v>468</v>
      </c>
      <c r="C11" s="434">
        <f>AVERAGE(AF$52:AF$56)</f>
        <v>37.482244684520296</v>
      </c>
      <c r="D11" s="434">
        <f>STDEV(AF$52:AF$56)</f>
        <v>15.677449625955543</v>
      </c>
      <c r="E11" s="434">
        <f>AVERAGE(AF$57:AF$61)</f>
        <v>90.784578113211026</v>
      </c>
      <c r="F11" s="434">
        <f>STDEV(AF$57:AF$61)</f>
        <v>4.7572992707064072</v>
      </c>
      <c r="G11" s="405">
        <f>AVERAGE(AF$62:AF$66)</f>
        <v>142.09345294646286</v>
      </c>
      <c r="H11" s="405">
        <f>STDEV(AF$62:AF$66)</f>
        <v>84.777227778823999</v>
      </c>
      <c r="I11" s="405">
        <f>C11/G11</f>
        <v>0.26378586702824819</v>
      </c>
      <c r="J11" s="571">
        <f t="shared" si="1"/>
        <v>0.20423114535593412</v>
      </c>
      <c r="K11" s="571">
        <v>0.40846229071186824</v>
      </c>
      <c r="L11" s="435">
        <v>0.66</v>
      </c>
      <c r="M11" s="433">
        <v>0.99</v>
      </c>
      <c r="N11" s="778">
        <v>0.43049999999999999</v>
      </c>
      <c r="O11" s="570">
        <f t="shared" si="2"/>
        <v>0.2440737489025461</v>
      </c>
      <c r="P11" s="433">
        <f t="shared" si="3"/>
        <v>0.16337657850699525</v>
      </c>
      <c r="Q11" s="570">
        <f t="shared" si="4"/>
        <v>1.6145880238087722</v>
      </c>
      <c r="R11" s="570">
        <f t="shared" si="5"/>
        <v>1.2500637926334688</v>
      </c>
      <c r="S11" s="570">
        <f t="shared" si="6"/>
        <v>0.41287017534827158</v>
      </c>
      <c r="T11" s="570">
        <f t="shared" si="7"/>
        <v>0.17403847467016145</v>
      </c>
      <c r="U11" s="573">
        <v>0.34807694934032291</v>
      </c>
      <c r="W11" s="315" t="s">
        <v>835</v>
      </c>
      <c r="X11" s="340"/>
      <c r="Y11" s="338"/>
      <c r="Z11" s="338"/>
      <c r="AA11" s="341" t="s">
        <v>834</v>
      </c>
      <c r="AB11" s="339">
        <v>419.89756578615879</v>
      </c>
      <c r="AC11" s="342">
        <v>459</v>
      </c>
      <c r="AD11" s="453" t="s">
        <v>833</v>
      </c>
      <c r="AE11" s="339">
        <v>404.01365012783384</v>
      </c>
      <c r="AF11" s="339"/>
      <c r="AG11" s="339"/>
      <c r="AH11" s="339">
        <v>431.16465743837551</v>
      </c>
      <c r="AI11" s="339">
        <v>370.78338848254242</v>
      </c>
      <c r="AJ11" s="339">
        <v>304.93065222973962</v>
      </c>
      <c r="AK11" s="339">
        <v>388.1280210008444</v>
      </c>
      <c r="AL11" s="339">
        <v>221.84297005111287</v>
      </c>
      <c r="AM11" s="339">
        <v>370.99983089397278</v>
      </c>
      <c r="AN11" s="339">
        <v>365.42296098820765</v>
      </c>
      <c r="AO11" s="339">
        <v>0</v>
      </c>
      <c r="AP11" s="340">
        <v>1.0041573166636066</v>
      </c>
      <c r="AQ11" s="340">
        <v>7.3524452763662866</v>
      </c>
      <c r="AR11" s="339"/>
      <c r="AS11" s="340">
        <v>6.0158438140215607</v>
      </c>
      <c r="AT11" s="338"/>
      <c r="AU11" s="338"/>
      <c r="AV11" s="339">
        <v>351.35918326582959</v>
      </c>
      <c r="AW11" s="339">
        <v>43.87274857326878</v>
      </c>
      <c r="AX11" s="338">
        <v>2.9832834998779856E-2</v>
      </c>
      <c r="AY11" s="338">
        <v>0.12375779581102593</v>
      </c>
      <c r="AZ11" s="338">
        <v>2.8461999040577326</v>
      </c>
      <c r="BA11" s="339">
        <v>22.068134388009902</v>
      </c>
      <c r="BB11" s="338"/>
      <c r="BC11" s="338"/>
      <c r="BD11" s="336"/>
      <c r="BE11" s="313">
        <v>42.093000411987298</v>
      </c>
      <c r="BF11" s="337">
        <v>3.1176089206697379</v>
      </c>
      <c r="BG11" s="336"/>
      <c r="BH11" s="336" t="s">
        <v>810</v>
      </c>
    </row>
    <row r="12" spans="1:60" ht="17">
      <c r="A12" s="435" t="s">
        <v>313</v>
      </c>
      <c r="B12" s="435" t="s">
        <v>461</v>
      </c>
      <c r="C12" s="434">
        <f>AVERAGE(AG$52:AG$56)</f>
        <v>30.459904194534499</v>
      </c>
      <c r="D12" s="434">
        <f>STDEV(AG$52:AG$56)</f>
        <v>15.159903351089712</v>
      </c>
      <c r="E12" s="434">
        <f>AVERAGE(AG$57:AG$61)</f>
        <v>76.326615937457248</v>
      </c>
      <c r="F12" s="434">
        <f>STDEV(AG$57:AG$61)</f>
        <v>4.9915502505925513</v>
      </c>
      <c r="G12" s="405">
        <f>AVERAGE(AG$62:AG$66)</f>
        <v>120.84856984692264</v>
      </c>
      <c r="H12" s="405">
        <f>STDEV(AG$62:AG$66)</f>
        <v>69.181784714886305</v>
      </c>
      <c r="I12" s="405">
        <f t="shared" si="0"/>
        <v>0.25205018340819152</v>
      </c>
      <c r="J12" s="571">
        <f t="shared" si="1"/>
        <v>0.20804687047315068</v>
      </c>
      <c r="K12" s="571">
        <v>0.41609374094630136</v>
      </c>
      <c r="L12" s="435">
        <v>0.66</v>
      </c>
      <c r="M12" s="433">
        <v>0.99</v>
      </c>
      <c r="N12" s="778">
        <v>0.43049999999999999</v>
      </c>
      <c r="O12" s="570">
        <f t="shared" si="2"/>
        <v>0.2440737489025461</v>
      </c>
      <c r="P12" s="433">
        <f t="shared" si="3"/>
        <v>0.16337657850699525</v>
      </c>
      <c r="Q12" s="570">
        <f t="shared" si="4"/>
        <v>1.5427559183301147</v>
      </c>
      <c r="R12" s="570">
        <f t="shared" si="5"/>
        <v>1.2734191912596751</v>
      </c>
      <c r="S12" s="570">
        <f t="shared" si="6"/>
        <v>0.39907316498210316</v>
      </c>
      <c r="T12" s="433">
        <f t="shared" si="7"/>
        <v>0.20032613687707773</v>
      </c>
      <c r="U12" s="573">
        <v>0.40065227375415546</v>
      </c>
      <c r="W12" s="335" t="s">
        <v>43</v>
      </c>
      <c r="X12" s="333"/>
      <c r="Y12" s="330"/>
      <c r="Z12" s="330"/>
      <c r="AA12" s="332">
        <v>947016.77546075755</v>
      </c>
      <c r="AB12" s="332">
        <v>4612.8526614783841</v>
      </c>
      <c r="AC12" s="334">
        <v>55500</v>
      </c>
      <c r="AD12" s="332">
        <v>55434.940849307459</v>
      </c>
      <c r="AE12" s="332">
        <v>143.57315650800913</v>
      </c>
      <c r="AF12" s="332"/>
      <c r="AG12" s="332"/>
      <c r="AH12" s="332">
        <v>58.988862340491409</v>
      </c>
      <c r="AI12" s="332">
        <v>58.413084075486275</v>
      </c>
      <c r="AJ12" s="332">
        <v>178.43907693975933</v>
      </c>
      <c r="AK12" s="332">
        <v>171.1359566002314</v>
      </c>
      <c r="AL12" s="333">
        <v>4.2578860719994314</v>
      </c>
      <c r="AM12" s="333">
        <v>6.2368253126405193</v>
      </c>
      <c r="AN12" s="330">
        <v>6.3724995172740506</v>
      </c>
      <c r="AO12" s="332">
        <v>20.733265418479565</v>
      </c>
      <c r="AP12" s="333">
        <v>2.1052425166310167</v>
      </c>
      <c r="AQ12" s="333">
        <v>1.4576205850293444</v>
      </c>
      <c r="AR12" s="330"/>
      <c r="AS12" s="333">
        <v>1.4388708127922567</v>
      </c>
      <c r="AT12" s="330"/>
      <c r="AU12" s="330"/>
      <c r="AV12" s="333">
        <v>2.7659004792515658</v>
      </c>
      <c r="AW12" s="333">
        <v>1.0030132434057839</v>
      </c>
      <c r="AX12" s="333">
        <v>9.4199072487731108</v>
      </c>
      <c r="AY12" s="332">
        <v>15.171746237864284</v>
      </c>
      <c r="AZ12" s="332">
        <v>29.658749358384014</v>
      </c>
      <c r="BA12" s="330" t="s">
        <v>748</v>
      </c>
      <c r="BB12" s="330"/>
      <c r="BC12" s="330"/>
      <c r="BD12" s="327"/>
      <c r="BE12" s="329">
        <v>43.451000213623097</v>
      </c>
      <c r="BF12" s="328">
        <v>0.99197644844623056</v>
      </c>
      <c r="BG12" s="327"/>
      <c r="BH12" s="326" t="s">
        <v>805</v>
      </c>
    </row>
    <row r="13" spans="1:60" ht="18" thickBot="1">
      <c r="A13" s="435" t="s">
        <v>313</v>
      </c>
      <c r="B13" s="435" t="s">
        <v>457</v>
      </c>
      <c r="C13" s="434">
        <f>AVERAGE(AH$52:AH$56)</f>
        <v>58.66402593480116</v>
      </c>
      <c r="D13" s="434">
        <f>STDEV(AH$52:AH$56)</f>
        <v>3.171986995905121</v>
      </c>
      <c r="E13" s="405">
        <f>AVERAGE(AH$57:AH$61)</f>
        <v>1.0136457027221846</v>
      </c>
      <c r="F13" s="405">
        <f>STDEV(AH$57:AH$61)</f>
        <v>1.5562370853244172</v>
      </c>
      <c r="G13" s="434">
        <f>AVERAGE(AH$62:AH$66)</f>
        <v>5.7057246432068194</v>
      </c>
      <c r="H13" s="434">
        <f>STDEV(AH$62:AH$66)</f>
        <v>3.8078072480761422</v>
      </c>
      <c r="I13" s="434">
        <f t="shared" si="0"/>
        <v>10.281608315018493</v>
      </c>
      <c r="J13" s="570">
        <f t="shared" si="1"/>
        <v>5.1351278462471983</v>
      </c>
      <c r="K13" s="570">
        <v>10.270255692494397</v>
      </c>
      <c r="L13" s="435">
        <v>0.76</v>
      </c>
      <c r="M13" s="433">
        <v>-2.81</v>
      </c>
      <c r="N13" s="778">
        <v>0.43049999999999999</v>
      </c>
      <c r="O13" s="570">
        <f t="shared" si="2"/>
        <v>0.2440737489025461</v>
      </c>
      <c r="P13" s="433">
        <f t="shared" si="3"/>
        <v>39.98336857851875</v>
      </c>
      <c r="Q13" s="573">
        <f t="shared" si="4"/>
        <v>0.25714712593131372</v>
      </c>
      <c r="R13" s="570">
        <f t="shared" si="5"/>
        <v>0.1284315961563596</v>
      </c>
      <c r="S13" s="571">
        <f t="shared" si="6"/>
        <v>57.87429057041988</v>
      </c>
      <c r="T13" s="571">
        <f t="shared" si="7"/>
        <v>88.908734006048689</v>
      </c>
      <c r="U13" s="571">
        <v>177.81746801209738</v>
      </c>
      <c r="W13" s="325" t="s">
        <v>45</v>
      </c>
      <c r="X13" s="321"/>
      <c r="Y13" s="320"/>
      <c r="Z13" s="320"/>
      <c r="AA13" s="321">
        <v>944018.65903750563</v>
      </c>
      <c r="AB13" s="321">
        <v>4670.7898303545971</v>
      </c>
      <c r="AC13" s="324">
        <v>55500</v>
      </c>
      <c r="AD13" s="321">
        <v>55565.012949522607</v>
      </c>
      <c r="AE13" s="321">
        <v>149.05415551961053</v>
      </c>
      <c r="AF13" s="321"/>
      <c r="AG13" s="321"/>
      <c r="AH13" s="321">
        <v>58.067174909865017</v>
      </c>
      <c r="AI13" s="321">
        <v>58.641630926570173</v>
      </c>
      <c r="AJ13" s="321">
        <v>178.7794222064783</v>
      </c>
      <c r="AK13" s="321">
        <v>186.08350216862428</v>
      </c>
      <c r="AL13" s="322">
        <v>4.4202683198447321</v>
      </c>
      <c r="AM13" s="322">
        <v>6.6816098452839796</v>
      </c>
      <c r="AN13" s="322">
        <v>6.5433364173139505</v>
      </c>
      <c r="AO13" s="321">
        <v>19.630099786523139</v>
      </c>
      <c r="AP13" s="322">
        <v>2.1329845657796596</v>
      </c>
      <c r="AQ13" s="322">
        <v>1.4284391625061925</v>
      </c>
      <c r="AR13" s="320"/>
      <c r="AS13" s="322">
        <v>1.4470974950378115</v>
      </c>
      <c r="AT13" s="320"/>
      <c r="AU13" s="320"/>
      <c r="AV13" s="322">
        <v>2.9861167261558825</v>
      </c>
      <c r="AW13" s="322">
        <v>1.2987274642761735</v>
      </c>
      <c r="AX13" s="322">
        <v>9.6324052805728488</v>
      </c>
      <c r="AY13" s="321">
        <v>15.303161455823014</v>
      </c>
      <c r="AZ13" s="321">
        <v>31.091403092996316</v>
      </c>
      <c r="BA13" s="320" t="s">
        <v>69</v>
      </c>
      <c r="BB13" s="320"/>
      <c r="BC13" s="320"/>
      <c r="BD13" s="317"/>
      <c r="BE13" s="319">
        <v>43.451002120971694</v>
      </c>
      <c r="BF13" s="318">
        <v>0.98963288857250686</v>
      </c>
      <c r="BG13" s="317"/>
      <c r="BH13" s="316" t="s">
        <v>800</v>
      </c>
    </row>
    <row r="14" spans="1:60" ht="17">
      <c r="A14" s="435" t="s">
        <v>313</v>
      </c>
      <c r="B14" s="435" t="s">
        <v>832</v>
      </c>
      <c r="C14" s="434">
        <f>AVERAGE(AI$52:AI$56)</f>
        <v>64.871920220702236</v>
      </c>
      <c r="D14" s="434">
        <f>STDEV(AI$52:AI$56)</f>
        <v>4.0691159391630034</v>
      </c>
      <c r="E14" s="405">
        <f>AVERAGE(AI$57:AI$61)</f>
        <v>0.92937873709770047</v>
      </c>
      <c r="F14" s="405">
        <f>STDEV(AI$57:AI$61)</f>
        <v>1.5032279470471195</v>
      </c>
      <c r="G14" s="434">
        <f>AVERAGE(AI$62:AI$66)</f>
        <v>4.4845049343345851</v>
      </c>
      <c r="H14" s="434">
        <f>STDEV(AI$62:AI$66)</f>
        <v>3.4144533782485609</v>
      </c>
      <c r="I14" s="405">
        <f t="shared" si="0"/>
        <v>14.465793029688792</v>
      </c>
      <c r="J14" s="571">
        <f t="shared" si="1"/>
        <v>9.293386884691909</v>
      </c>
      <c r="K14" s="571">
        <v>18.586773769383818</v>
      </c>
      <c r="L14" s="435">
        <v>0.76</v>
      </c>
      <c r="M14" s="433">
        <v>-2.81</v>
      </c>
      <c r="N14" s="778">
        <v>0.43049999999999999</v>
      </c>
      <c r="O14" s="570">
        <f t="shared" si="2"/>
        <v>0.2440737489025461</v>
      </c>
      <c r="P14" s="433">
        <f t="shared" si="3"/>
        <v>39.98336857851875</v>
      </c>
      <c r="Q14" s="573">
        <f t="shared" si="4"/>
        <v>0.36179525497660558</v>
      </c>
      <c r="R14" s="570">
        <f t="shared" si="5"/>
        <v>0.23243131369588563</v>
      </c>
      <c r="S14" s="571">
        <f t="shared" si="6"/>
        <v>69.801381967578422</v>
      </c>
      <c r="T14" s="571">
        <f t="shared" si="7"/>
        <v>112.98543323320948</v>
      </c>
      <c r="U14" s="571">
        <v>225.97086646641895</v>
      </c>
      <c r="W14" s="396"/>
      <c r="X14" s="401"/>
      <c r="Y14" s="400"/>
      <c r="Z14" s="400"/>
      <c r="AA14" s="401"/>
      <c r="AB14" s="401"/>
      <c r="AC14" s="408"/>
      <c r="AD14" s="401"/>
      <c r="AE14" s="401"/>
      <c r="AF14" s="401"/>
      <c r="AG14" s="401"/>
      <c r="AH14" s="401"/>
      <c r="AI14" s="401"/>
      <c r="AJ14" s="401"/>
      <c r="AK14" s="401"/>
      <c r="AL14" s="402"/>
      <c r="AM14" s="402"/>
      <c r="AN14" s="402"/>
      <c r="AO14" s="401"/>
      <c r="AP14" s="402"/>
      <c r="AQ14" s="402"/>
      <c r="AR14" s="400"/>
      <c r="AS14" s="402"/>
      <c r="AT14" s="400"/>
      <c r="AU14" s="400"/>
      <c r="AV14" s="402"/>
      <c r="AW14" s="402"/>
      <c r="AX14" s="402"/>
      <c r="AY14" s="401"/>
      <c r="AZ14" s="401"/>
      <c r="BA14" s="400"/>
      <c r="BB14" s="400"/>
      <c r="BC14" s="400"/>
      <c r="BD14" s="398"/>
      <c r="BE14" s="394"/>
      <c r="BF14" s="399"/>
      <c r="BG14" s="398"/>
      <c r="BH14" s="398"/>
    </row>
    <row r="15" spans="1:60" ht="17">
      <c r="A15" s="435" t="s">
        <v>313</v>
      </c>
      <c r="B15" s="435" t="s">
        <v>453</v>
      </c>
      <c r="C15" s="405">
        <f>AVERAGE(AJ$52:AJ$56)</f>
        <v>679.59120056181439</v>
      </c>
      <c r="D15" s="405">
        <f>STDEV(AJ$52:AJ$56)</f>
        <v>1226.5962942993328</v>
      </c>
      <c r="E15" s="434">
        <f>AVERAGE(AJ$57:AJ$61)</f>
        <v>20.907697909584957</v>
      </c>
      <c r="F15" s="434">
        <f>STDEV(AJ$57:AJ$61)</f>
        <v>0.785343679878023</v>
      </c>
      <c r="G15" s="720">
        <f>AVERAGE(AJ$62:AJ$66)</f>
        <v>31.33253075767405</v>
      </c>
      <c r="H15" s="720">
        <f>STDEV(AJ$62:AJ$66)</f>
        <v>19.024829823643842</v>
      </c>
      <c r="I15" s="405">
        <f t="shared" si="0"/>
        <v>21.689636429874628</v>
      </c>
      <c r="J15" s="571">
        <f t="shared" si="1"/>
        <v>47.144247161493212</v>
      </c>
      <c r="K15" s="571">
        <v>94.288494322986423</v>
      </c>
      <c r="L15" s="435">
        <v>0.63</v>
      </c>
      <c r="M15" s="433">
        <v>-3.23</v>
      </c>
      <c r="N15" s="778">
        <v>0.43049999999999999</v>
      </c>
      <c r="O15" s="570">
        <f t="shared" si="2"/>
        <v>0.2440737489025461</v>
      </c>
      <c r="P15" s="433">
        <f t="shared" si="3"/>
        <v>59.930442923110704</v>
      </c>
      <c r="Q15" s="573">
        <f t="shared" si="4"/>
        <v>0.36191350125180793</v>
      </c>
      <c r="R15" s="570">
        <f t="shared" si="5"/>
        <v>0.78664940324199062</v>
      </c>
      <c r="S15" s="571">
        <f t="shared" si="6"/>
        <v>32.504353348737716</v>
      </c>
      <c r="T15" s="571">
        <f t="shared" si="7"/>
        <v>58.679912875061724</v>
      </c>
      <c r="U15" s="571">
        <v>117.35982575012345</v>
      </c>
      <c r="W15" s="396"/>
      <c r="X15" s="401"/>
      <c r="Y15" s="400"/>
      <c r="Z15" s="400"/>
      <c r="AA15" s="401"/>
      <c r="AB15" s="401"/>
      <c r="AC15" s="408"/>
      <c r="AD15" s="401"/>
      <c r="AE15" s="401"/>
      <c r="AF15" s="401"/>
      <c r="AG15" s="401"/>
      <c r="AH15" s="401"/>
      <c r="AI15" s="401"/>
      <c r="AJ15" s="401"/>
      <c r="AK15" s="401"/>
      <c r="AL15" s="402"/>
      <c r="AM15" s="402"/>
      <c r="AN15" s="402"/>
      <c r="AO15" s="401"/>
      <c r="AP15" s="402"/>
      <c r="AQ15" s="402"/>
      <c r="AR15" s="400"/>
      <c r="AS15" s="402"/>
      <c r="AT15" s="400"/>
      <c r="AU15" s="400"/>
      <c r="AV15" s="402"/>
      <c r="AW15" s="402"/>
      <c r="AX15" s="402"/>
      <c r="AY15" s="401"/>
      <c r="AZ15" s="401"/>
      <c r="BA15" s="400"/>
      <c r="BB15" s="400"/>
      <c r="BC15" s="400"/>
      <c r="BD15" s="398"/>
      <c r="BE15" s="394"/>
      <c r="BF15" s="399"/>
      <c r="BG15" s="398"/>
      <c r="BH15" s="398"/>
    </row>
    <row r="16" spans="1:60" ht="17">
      <c r="A16" s="435" t="s">
        <v>313</v>
      </c>
      <c r="B16" s="435" t="s">
        <v>449</v>
      </c>
      <c r="C16" s="405">
        <f>AVERAGE(AK$52:AK$56)</f>
        <v>644.64479978364943</v>
      </c>
      <c r="D16" s="405">
        <f>STDEV(AK$52:AK$56)</f>
        <v>1187.9133932401364</v>
      </c>
      <c r="E16" s="434">
        <f>AVERAGE(AK$57:AK$61)</f>
        <v>4.2386548198984553</v>
      </c>
      <c r="F16" s="434">
        <f>STDEV(AK$57:AK$61)</f>
        <v>0.19420871009128993</v>
      </c>
      <c r="G16" s="720">
        <f>AVERAGE(AK$62:AK$66)</f>
        <v>10.059012531221148</v>
      </c>
      <c r="H16" s="720">
        <f>STDEV(AK$62:AK$66)</f>
        <v>5.7719530694566243</v>
      </c>
      <c r="I16" s="405">
        <f t="shared" si="0"/>
        <v>64.086290556135793</v>
      </c>
      <c r="J16" s="571">
        <f t="shared" si="1"/>
        <v>139.19528750117544</v>
      </c>
      <c r="K16" s="571">
        <v>278.39057500235089</v>
      </c>
      <c r="L16" s="435">
        <v>0.63</v>
      </c>
      <c r="M16" s="433">
        <v>-3.23</v>
      </c>
      <c r="N16" s="778">
        <v>0.43049999999999999</v>
      </c>
      <c r="O16" s="570">
        <f t="shared" si="2"/>
        <v>0.2440737489025461</v>
      </c>
      <c r="P16" s="433">
        <f t="shared" si="3"/>
        <v>59.930442923110704</v>
      </c>
      <c r="Q16" s="573">
        <f t="shared" si="4"/>
        <v>1.0693445172490539</v>
      </c>
      <c r="R16" s="570">
        <f t="shared" si="5"/>
        <v>2.3226140290629855</v>
      </c>
      <c r="S16" s="571">
        <f t="shared" si="6"/>
        <v>152.08711895041574</v>
      </c>
      <c r="T16" s="571">
        <f t="shared" si="7"/>
        <v>280.34378619497511</v>
      </c>
      <c r="U16" s="571">
        <v>560.68757238995022</v>
      </c>
      <c r="W16" s="478" t="s">
        <v>799</v>
      </c>
      <c r="X16" s="365"/>
      <c r="Y16" s="365"/>
      <c r="Z16" s="365"/>
      <c r="AA16" s="366">
        <v>282521.47510896524</v>
      </c>
      <c r="AB16" s="366">
        <v>496.36920382676431</v>
      </c>
      <c r="AC16" s="369">
        <v>218000</v>
      </c>
      <c r="AD16" s="366">
        <v>236519.30027497344</v>
      </c>
      <c r="AE16" s="366">
        <v>136.54010482490102</v>
      </c>
      <c r="AF16" s="366"/>
      <c r="AG16" s="365"/>
      <c r="AH16" s="366">
        <v>59.701242956550573</v>
      </c>
      <c r="AI16" s="366">
        <v>58.846990598285686</v>
      </c>
      <c r="AJ16" s="366">
        <v>92.728025319984383</v>
      </c>
      <c r="AK16" s="366">
        <v>96.770278451058189</v>
      </c>
      <c r="AL16" s="366">
        <v>122.49929818432082</v>
      </c>
      <c r="AM16" s="366">
        <v>124.52370459154456</v>
      </c>
      <c r="AN16" s="366">
        <v>108.06134523010684</v>
      </c>
      <c r="AO16" s="366">
        <v>100.37631292216879</v>
      </c>
      <c r="AP16" s="366">
        <v>115.03781918609371</v>
      </c>
      <c r="AQ16" s="366">
        <v>70.465230149777554</v>
      </c>
      <c r="AR16" s="366"/>
      <c r="AS16" s="366">
        <v>83.368610919042538</v>
      </c>
      <c r="AT16" s="365"/>
      <c r="AU16" s="365"/>
      <c r="AV16" s="366">
        <v>60.867806959053532</v>
      </c>
      <c r="AW16" s="367">
        <v>6.6217084737500933</v>
      </c>
      <c r="AX16" s="366">
        <v>25.403653387051076</v>
      </c>
      <c r="AY16" s="365">
        <v>3.5238250785642129</v>
      </c>
      <c r="AZ16" s="366">
        <v>48.822146946986457</v>
      </c>
      <c r="BA16" s="366">
        <v>126.22146471940631</v>
      </c>
      <c r="BB16" s="365"/>
      <c r="BC16" s="365"/>
      <c r="BD16" s="307"/>
      <c r="BE16" s="308">
        <v>42.093000411987298</v>
      </c>
      <c r="BF16" s="364">
        <v>1.7376180582687997</v>
      </c>
      <c r="BG16" s="307"/>
      <c r="BH16" s="475" t="s">
        <v>796</v>
      </c>
    </row>
    <row r="17" spans="1:60" ht="17">
      <c r="A17" s="435" t="s">
        <v>313</v>
      </c>
      <c r="B17" s="435" t="s">
        <v>13</v>
      </c>
      <c r="C17" s="434">
        <f>AVERAGE(AL$52:AL$56)</f>
        <v>164.12594850091915</v>
      </c>
      <c r="D17" s="434">
        <f>STDEV(AL$52:AL$56)</f>
        <v>21.760446168121788</v>
      </c>
      <c r="E17" s="405"/>
      <c r="F17" s="405"/>
      <c r="G17" s="720">
        <f>AVERAGE(AL$62:AL$66)</f>
        <v>70.647501630768176</v>
      </c>
      <c r="H17" s="720">
        <f>STDEV(AL$62:AL$66)</f>
        <v>47.385425718527358</v>
      </c>
      <c r="I17" s="405">
        <f t="shared" si="0"/>
        <v>2.3231670577497043</v>
      </c>
      <c r="J17" s="571">
        <f t="shared" si="1"/>
        <v>1.3531590176034125</v>
      </c>
      <c r="K17" s="571">
        <v>2.706318035206825</v>
      </c>
      <c r="L17" s="435">
        <v>0.23</v>
      </c>
      <c r="M17" s="433">
        <v>-2</v>
      </c>
      <c r="N17" s="778">
        <v>0.43049999999999999</v>
      </c>
      <c r="O17" s="570">
        <f t="shared" si="2"/>
        <v>0.2440737489025461</v>
      </c>
      <c r="P17" s="433">
        <f t="shared" si="3"/>
        <v>3.8608745665338229</v>
      </c>
      <c r="Q17" s="573">
        <f t="shared" si="4"/>
        <v>0.60172041792991315</v>
      </c>
      <c r="R17" s="570">
        <f t="shared" si="5"/>
        <v>0.35047992217427509</v>
      </c>
      <c r="S17" s="571" t="e">
        <f t="shared" si="6"/>
        <v>#DIV/0!</v>
      </c>
      <c r="T17" s="571" t="e">
        <f t="shared" si="7"/>
        <v>#DIV/0!</v>
      </c>
      <c r="U17" s="571" t="e">
        <v>#DIV/0!</v>
      </c>
      <c r="W17" s="478" t="s">
        <v>795</v>
      </c>
      <c r="X17" s="365"/>
      <c r="Y17" s="365"/>
      <c r="Z17" s="365"/>
      <c r="AA17" s="366">
        <v>275390.49051844276</v>
      </c>
      <c r="AB17" s="366">
        <v>490.97165896436974</v>
      </c>
      <c r="AC17" s="369">
        <v>218000</v>
      </c>
      <c r="AD17" s="366">
        <v>225806.20050708717</v>
      </c>
      <c r="AE17" s="366">
        <v>130.5286326215662</v>
      </c>
      <c r="AF17" s="366"/>
      <c r="AG17" s="365"/>
      <c r="AH17" s="366">
        <v>53.141122454740838</v>
      </c>
      <c r="AI17" s="366">
        <v>50.751305714748327</v>
      </c>
      <c r="AJ17" s="366">
        <v>75.854942297224468</v>
      </c>
      <c r="AK17" s="366">
        <v>85.040567033314446</v>
      </c>
      <c r="AL17" s="366">
        <v>102.21394054892403</v>
      </c>
      <c r="AM17" s="366">
        <v>109.31598400457712</v>
      </c>
      <c r="AN17" s="366">
        <v>100.83884693869899</v>
      </c>
      <c r="AO17" s="366">
        <v>82.685479913529377</v>
      </c>
      <c r="AP17" s="366">
        <v>74.800544117142906</v>
      </c>
      <c r="AQ17" s="366">
        <v>60.412790145352481</v>
      </c>
      <c r="AR17" s="366"/>
      <c r="AS17" s="366">
        <v>71.059269017104199</v>
      </c>
      <c r="AT17" s="365"/>
      <c r="AU17" s="365"/>
      <c r="AV17" s="366">
        <v>40.863775118895468</v>
      </c>
      <c r="AW17" s="365">
        <v>0.91242854688574448</v>
      </c>
      <c r="AX17" s="367">
        <v>8.6786977277980526</v>
      </c>
      <c r="AY17" s="366">
        <v>1827.6956875887652</v>
      </c>
      <c r="AZ17" s="366">
        <v>51.970887592460002</v>
      </c>
      <c r="BA17" s="366">
        <v>124.26668501619544</v>
      </c>
      <c r="BB17" s="365"/>
      <c r="BC17" s="365"/>
      <c r="BD17" s="307"/>
      <c r="BE17" s="308">
        <v>44.809001922607393</v>
      </c>
      <c r="BF17" s="364">
        <v>2.1154870372100372</v>
      </c>
      <c r="BG17" s="307"/>
      <c r="BH17" s="475" t="s">
        <v>793</v>
      </c>
    </row>
    <row r="18" spans="1:60" ht="17">
      <c r="A18" s="435" t="s">
        <v>313</v>
      </c>
      <c r="B18" s="435" t="s">
        <v>443</v>
      </c>
      <c r="C18" s="434">
        <f>AVERAGE(AM$52:AM$56)</f>
        <v>131.84875176195681</v>
      </c>
      <c r="D18" s="434">
        <f>STDEV(AM$52:AM$56)</f>
        <v>7.1719325516226435</v>
      </c>
      <c r="E18" s="434">
        <f>AVERAGE(AM$57:AM$61)</f>
        <v>318.11110295639162</v>
      </c>
      <c r="F18" s="434">
        <f>STDEV(AM$57:AM$61)</f>
        <v>11.821674133205681</v>
      </c>
      <c r="G18" s="434">
        <f>AVERAGE(AM$62:AM$66)</f>
        <v>270.59449488658777</v>
      </c>
      <c r="H18" s="434">
        <f>STDEV(AM$62:AM$66)</f>
        <v>152.86273842625678</v>
      </c>
      <c r="I18" s="434">
        <f t="shared" si="0"/>
        <v>0.48725585425238449</v>
      </c>
      <c r="J18" s="570">
        <f t="shared" si="1"/>
        <v>0.18200150116434077</v>
      </c>
      <c r="K18" s="570">
        <v>0.36400300232868155</v>
      </c>
      <c r="L18" s="435">
        <v>0.67</v>
      </c>
      <c r="M18" s="433">
        <v>-1.33</v>
      </c>
      <c r="N18" s="778">
        <v>0.43049999999999999</v>
      </c>
      <c r="O18" s="570">
        <f t="shared" si="2"/>
        <v>0.2440737489025461</v>
      </c>
      <c r="P18" s="433">
        <f t="shared" si="3"/>
        <v>4.3719156792067908</v>
      </c>
      <c r="Q18" s="570">
        <f t="shared" si="4"/>
        <v>0.11145133849900525</v>
      </c>
      <c r="R18" s="570">
        <f t="shared" si="5"/>
        <v>4.1629691540016577E-2</v>
      </c>
      <c r="S18" s="570">
        <f t="shared" si="6"/>
        <v>0.41447390718717336</v>
      </c>
      <c r="T18" s="570">
        <f t="shared" si="7"/>
        <v>2.7304531146829653E-2</v>
      </c>
      <c r="U18" s="573">
        <v>5.4609062293659305E-2</v>
      </c>
      <c r="W18" s="478" t="s">
        <v>792</v>
      </c>
      <c r="X18" s="365"/>
      <c r="Y18" s="365"/>
      <c r="Z18" s="365"/>
      <c r="AA18" s="366">
        <v>305915.67635259015</v>
      </c>
      <c r="AB18" s="366">
        <v>534.02346947141166</v>
      </c>
      <c r="AC18" s="369">
        <v>218000</v>
      </c>
      <c r="AD18" s="366">
        <v>249580.30853198576</v>
      </c>
      <c r="AE18" s="366">
        <v>135.28726692275308</v>
      </c>
      <c r="AF18" s="366"/>
      <c r="AG18" s="365"/>
      <c r="AH18" s="366">
        <v>56.886072046174746</v>
      </c>
      <c r="AI18" s="366">
        <v>53.185652926017909</v>
      </c>
      <c r="AJ18" s="366">
        <v>76.481082128190849</v>
      </c>
      <c r="AK18" s="366">
        <v>82.924246613166034</v>
      </c>
      <c r="AL18" s="366">
        <v>122.98264139485723</v>
      </c>
      <c r="AM18" s="366">
        <v>117.6213768358022</v>
      </c>
      <c r="AN18" s="366">
        <v>111.33004638955272</v>
      </c>
      <c r="AO18" s="366">
        <v>97.970569265222466</v>
      </c>
      <c r="AP18" s="366">
        <v>88.99072407756961</v>
      </c>
      <c r="AQ18" s="366">
        <v>69.124785603356898</v>
      </c>
      <c r="AR18" s="366"/>
      <c r="AS18" s="366">
        <v>85.360821707801136</v>
      </c>
      <c r="AT18" s="365"/>
      <c r="AU18" s="365"/>
      <c r="AV18" s="366">
        <v>45.12765219625522</v>
      </c>
      <c r="AW18" s="367">
        <v>5.0584583218051717</v>
      </c>
      <c r="AX18" s="366">
        <v>30.270848234030126</v>
      </c>
      <c r="AY18" s="366">
        <v>1068.5117675352781</v>
      </c>
      <c r="AZ18" s="366">
        <v>59.747479161433532</v>
      </c>
      <c r="BA18" s="366">
        <v>135.70384827523114</v>
      </c>
      <c r="BB18" s="365"/>
      <c r="BC18" s="365"/>
      <c r="BD18" s="307"/>
      <c r="BE18" s="308">
        <v>43.451002120971694</v>
      </c>
      <c r="BF18" s="364">
        <v>2.1597139397259308</v>
      </c>
      <c r="BG18" s="307"/>
      <c r="BH18" s="475" t="s">
        <v>789</v>
      </c>
    </row>
    <row r="19" spans="1:60" ht="17">
      <c r="A19" s="435" t="s">
        <v>313</v>
      </c>
      <c r="B19" s="435" t="s">
        <v>831</v>
      </c>
      <c r="C19" s="434">
        <f>AVERAGE(AN$52:AN$56)</f>
        <v>130.19694007415791</v>
      </c>
      <c r="D19" s="434">
        <f>STDEV(AN$52:AN$56)</f>
        <v>6.0503743534459904</v>
      </c>
      <c r="E19" s="434">
        <f>AVERAGE(AN$57:AN$61)</f>
        <v>315.89755691875473</v>
      </c>
      <c r="F19" s="434">
        <f>STDEV(AN$57:AN$61)</f>
        <v>14.926493363800239</v>
      </c>
      <c r="G19" s="434">
        <f>AVERAGE(AN$62:AN$66)</f>
        <v>277.57925631743717</v>
      </c>
      <c r="H19" s="434">
        <f>STDEV(AN$62:AN$66)</f>
        <v>158.78728237122215</v>
      </c>
      <c r="I19" s="434">
        <f t="shared" si="0"/>
        <v>0.46904419948897708</v>
      </c>
      <c r="J19" s="570">
        <f t="shared" si="1"/>
        <v>0.1752837798025747</v>
      </c>
      <c r="K19" s="570">
        <v>0.3505675596051494</v>
      </c>
      <c r="L19" s="435">
        <v>0.67</v>
      </c>
      <c r="M19" s="433">
        <v>-1.33</v>
      </c>
      <c r="N19" s="778">
        <v>0.43049999999999999</v>
      </c>
      <c r="O19" s="570">
        <f t="shared" si="2"/>
        <v>0.2440737489025461</v>
      </c>
      <c r="P19" s="433">
        <f t="shared" si="3"/>
        <v>4.3719156792067908</v>
      </c>
      <c r="Q19" s="570">
        <f t="shared" si="4"/>
        <v>0.10728573785624271</v>
      </c>
      <c r="R19" s="570">
        <f t="shared" si="5"/>
        <v>4.0093129114140862E-2</v>
      </c>
      <c r="S19" s="570">
        <f t="shared" si="6"/>
        <v>0.41214924655983676</v>
      </c>
      <c r="T19" s="570">
        <f t="shared" si="7"/>
        <v>2.7314678611281704E-2</v>
      </c>
      <c r="U19" s="573">
        <v>5.4629357222563409E-2</v>
      </c>
      <c r="W19" s="478" t="s">
        <v>788</v>
      </c>
      <c r="X19" s="365"/>
      <c r="Y19" s="365"/>
      <c r="Z19" s="365"/>
      <c r="AA19" s="366">
        <v>261835.88770279553</v>
      </c>
      <c r="AB19" s="366">
        <v>491.93212138171128</v>
      </c>
      <c r="AC19" s="369">
        <v>218000</v>
      </c>
      <c r="AD19" s="366">
        <v>234926.41539199313</v>
      </c>
      <c r="AE19" s="366">
        <v>135.6460605572598</v>
      </c>
      <c r="AF19" s="366"/>
      <c r="AG19" s="365"/>
      <c r="AH19" s="366">
        <v>59.100118409662542</v>
      </c>
      <c r="AI19" s="366">
        <v>58.540251512311954</v>
      </c>
      <c r="AJ19" s="366">
        <v>112.78462552080384</v>
      </c>
      <c r="AK19" s="366">
        <v>125.21819621381646</v>
      </c>
      <c r="AL19" s="366">
        <v>120.82992209758243</v>
      </c>
      <c r="AM19" s="366">
        <v>124.39894366850288</v>
      </c>
      <c r="AN19" s="366">
        <v>111.07412928273746</v>
      </c>
      <c r="AO19" s="366">
        <v>118.0525569814946</v>
      </c>
      <c r="AP19" s="366">
        <v>100.54082877252654</v>
      </c>
      <c r="AQ19" s="366">
        <v>73.129077123456199</v>
      </c>
      <c r="AR19" s="366"/>
      <c r="AS19" s="366">
        <v>87.522408060219576</v>
      </c>
      <c r="AT19" s="365"/>
      <c r="AU19" s="365"/>
      <c r="AV19" s="366">
        <v>53.972101729695105</v>
      </c>
      <c r="AW19" s="366">
        <v>50.885276154047197</v>
      </c>
      <c r="AX19" s="366">
        <v>51.374800463995484</v>
      </c>
      <c r="AY19" s="366">
        <v>43.606505390435068</v>
      </c>
      <c r="AZ19" s="366">
        <v>77.75190113321564</v>
      </c>
      <c r="BA19" s="366">
        <v>133.01361403058638</v>
      </c>
      <c r="BB19" s="365"/>
      <c r="BC19" s="365"/>
      <c r="BD19" s="307"/>
      <c r="BE19" s="308">
        <v>44.809001922607393</v>
      </c>
      <c r="BF19" s="364">
        <v>1.8353956009872792</v>
      </c>
      <c r="BG19" s="307"/>
      <c r="BH19" s="475" t="s">
        <v>785</v>
      </c>
    </row>
    <row r="20" spans="1:60" ht="17">
      <c r="A20" s="407" t="s">
        <v>270</v>
      </c>
      <c r="B20" s="407" t="s">
        <v>440</v>
      </c>
      <c r="C20" s="438">
        <f>AVERAGE(AO$16:AO$20)</f>
        <v>96.185790738645977</v>
      </c>
      <c r="D20" s="438">
        <f>STDEV(AO$16:AO$20)</f>
        <v>14.889977650116275</v>
      </c>
      <c r="E20" s="438">
        <f>AVERAGE(AO$21:AO$25)</f>
        <v>0.42571795352517289</v>
      </c>
      <c r="F20" s="438">
        <f>STDEV(AO$21:AO$25)</f>
        <v>6.0385446674111422E-2</v>
      </c>
      <c r="G20" s="405">
        <f>AVERAGE(AO$26:AO$30)</f>
        <v>3.9750713561051989</v>
      </c>
      <c r="H20" s="405">
        <f>STDEV(AP$26:AP$30)</f>
        <v>4.6931252942282624</v>
      </c>
      <c r="I20" s="405">
        <f t="shared" si="0"/>
        <v>24.197248834518899</v>
      </c>
      <c r="J20" s="571">
        <f>I20*(SQRT((D20/C20)^2)+((H20/G20)^2))</f>
        <v>37.474603371676999</v>
      </c>
      <c r="K20" s="571">
        <v>74.949206743353997</v>
      </c>
      <c r="L20" s="407">
        <v>1.18</v>
      </c>
      <c r="M20" s="404">
        <v>-3.89</v>
      </c>
      <c r="N20" s="779">
        <v>0.43049999999999999</v>
      </c>
      <c r="O20" s="749">
        <f t="shared" si="2"/>
        <v>0.2440737489025461</v>
      </c>
      <c r="P20" s="732">
        <f t="shared" si="3"/>
        <v>284.72463039020954</v>
      </c>
      <c r="Q20" s="749">
        <f t="shared" si="4"/>
        <v>8.4984740524053165E-2</v>
      </c>
      <c r="R20" s="749">
        <f t="shared" si="5"/>
        <v>0.13161700594823422</v>
      </c>
      <c r="S20" s="749">
        <f t="shared" si="6"/>
        <v>225.93783029861922</v>
      </c>
      <c r="T20" s="749">
        <f t="shared" si="7"/>
        <v>47.438359513655335</v>
      </c>
      <c r="U20" s="749">
        <v>94.876719027310671</v>
      </c>
      <c r="W20" s="463" t="s">
        <v>784</v>
      </c>
      <c r="X20" s="459"/>
      <c r="Y20" s="574"/>
      <c r="Z20" s="574"/>
      <c r="AA20" s="459">
        <v>268648.85234829475</v>
      </c>
      <c r="AB20" s="459">
        <v>492.23529773009255</v>
      </c>
      <c r="AC20" s="462">
        <v>218000</v>
      </c>
      <c r="AD20" s="459">
        <v>225813.79800647218</v>
      </c>
      <c r="AE20" s="459">
        <v>125.00256297490969</v>
      </c>
      <c r="AF20" s="459"/>
      <c r="AG20" s="459"/>
      <c r="AH20" s="459">
        <v>53.381869203946948</v>
      </c>
      <c r="AI20" s="459">
        <v>55.745158701511052</v>
      </c>
      <c r="AJ20" s="459">
        <v>1984.7262817146923</v>
      </c>
      <c r="AK20" s="459">
        <v>2395.1909461074411</v>
      </c>
      <c r="AL20" s="459">
        <v>92.349813771296638</v>
      </c>
      <c r="AM20" s="459">
        <v>126.42844539568178</v>
      </c>
      <c r="AN20" s="459">
        <v>109.71868450997047</v>
      </c>
      <c r="AO20" s="459">
        <v>81.84403461081466</v>
      </c>
      <c r="AP20" s="459">
        <v>68.52280380238858</v>
      </c>
      <c r="AQ20" s="459">
        <v>69.596439230240691</v>
      </c>
      <c r="AR20" s="459"/>
      <c r="AS20" s="459">
        <v>80.397112411373584</v>
      </c>
      <c r="AT20" s="461"/>
      <c r="AU20" s="461"/>
      <c r="AV20" s="459">
        <v>51.34726340426554</v>
      </c>
      <c r="AW20" s="460">
        <v>6.2762666788407033</v>
      </c>
      <c r="AX20" s="459">
        <v>178.33991657239025</v>
      </c>
      <c r="AY20" s="459">
        <v>20.253128333535056</v>
      </c>
      <c r="AZ20" s="459">
        <v>215.67127801616741</v>
      </c>
      <c r="BA20" s="459">
        <v>113.97879409278107</v>
      </c>
      <c r="BB20" s="461"/>
      <c r="BC20" s="461"/>
      <c r="BD20" s="456"/>
      <c r="BE20" s="458">
        <v>44.809001922607393</v>
      </c>
      <c r="BF20" s="457">
        <v>2.0725073805451952</v>
      </c>
      <c r="BG20" s="456"/>
      <c r="BH20" s="455" t="s">
        <v>782</v>
      </c>
    </row>
    <row r="21" spans="1:60" ht="17">
      <c r="A21" s="407" t="s">
        <v>270</v>
      </c>
      <c r="B21" s="407" t="s">
        <v>16</v>
      </c>
      <c r="C21" s="438">
        <f>AVERAGE(AP$16:AP$20)</f>
        <v>89.578543991144272</v>
      </c>
      <c r="D21" s="438">
        <f>STDEV(AP$16:AP$20)</f>
        <v>18.910482466765945</v>
      </c>
      <c r="E21" s="673">
        <f>AVERAGE(AP$21:AP$25)</f>
        <v>7.024752927414829E-2</v>
      </c>
      <c r="F21" s="673">
        <f>STDEV(AP$21:AP$25)</f>
        <v>2.9791592378990584E-2</v>
      </c>
      <c r="G21" s="405">
        <f>AVERAGE(AP$26:AP$30)</f>
        <v>4.5427189291492693</v>
      </c>
      <c r="H21" s="405">
        <f>STDEV(AP$26:AP$30)</f>
        <v>4.6931252942282624</v>
      </c>
      <c r="I21" s="405">
        <f t="shared" si="0"/>
        <v>19.719147362683071</v>
      </c>
      <c r="J21" s="571">
        <f t="shared" si="1"/>
        <v>25.209350889441627</v>
      </c>
      <c r="K21" s="571">
        <v>50.418701778883253</v>
      </c>
      <c r="L21" s="407">
        <v>0.97</v>
      </c>
      <c r="M21" s="404">
        <v>-2.66</v>
      </c>
      <c r="N21" s="779">
        <v>0.43049999999999999</v>
      </c>
      <c r="O21" s="749">
        <f t="shared" si="2"/>
        <v>0.2440737489025461</v>
      </c>
      <c r="P21" s="732">
        <f t="shared" si="3"/>
        <v>41.301486533551667</v>
      </c>
      <c r="Q21" s="749">
        <f t="shared" si="4"/>
        <v>0.47744401031822492</v>
      </c>
      <c r="R21" s="749">
        <f t="shared" si="5"/>
        <v>0.61037393578951593</v>
      </c>
      <c r="S21" s="749">
        <f t="shared" si="6"/>
        <v>1275.1842650800527</v>
      </c>
      <c r="T21" s="749">
        <f t="shared" si="7"/>
        <v>604.09491354430634</v>
      </c>
      <c r="U21" s="749">
        <v>1208.1898270886127</v>
      </c>
      <c r="W21" s="567" t="s">
        <v>781</v>
      </c>
      <c r="X21" s="561"/>
      <c r="Y21" s="575"/>
      <c r="Z21" s="575"/>
      <c r="AA21" s="561">
        <v>587067.01094902959</v>
      </c>
      <c r="AB21" s="561">
        <v>106.79652763891148</v>
      </c>
      <c r="AC21" s="565">
        <v>18500</v>
      </c>
      <c r="AD21" s="561">
        <v>18818.713733884248</v>
      </c>
      <c r="AE21" s="561">
        <v>187.94972835294601</v>
      </c>
      <c r="AF21" s="561"/>
      <c r="AG21" s="561"/>
      <c r="AH21" s="562">
        <v>0.19659572006276715</v>
      </c>
      <c r="AI21" s="562">
        <v>0.27953689924461111</v>
      </c>
      <c r="AJ21" s="561">
        <v>14.84452673712526</v>
      </c>
      <c r="AK21" s="564">
        <v>3.5908464744005566</v>
      </c>
      <c r="AL21" s="563" t="s">
        <v>160</v>
      </c>
      <c r="AM21" s="561">
        <v>282.75606306773136</v>
      </c>
      <c r="AN21" s="561">
        <v>239.95181826142937</v>
      </c>
      <c r="AO21" s="562">
        <v>0.45841089389017586</v>
      </c>
      <c r="AP21" s="562">
        <v>0.12319407232822642</v>
      </c>
      <c r="AQ21" s="562">
        <v>0.14759934978504916</v>
      </c>
      <c r="AR21" s="561"/>
      <c r="AS21" s="562">
        <v>0.18859398603251126</v>
      </c>
      <c r="AT21" s="562"/>
      <c r="AU21" s="562"/>
      <c r="AV21" s="562">
        <v>0.71083611218888443</v>
      </c>
      <c r="AW21" s="562">
        <v>1.3920923536739811E-2</v>
      </c>
      <c r="AX21" s="564">
        <v>1.0736259054628516</v>
      </c>
      <c r="AY21" s="575">
        <v>4.5830941258893304E-3</v>
      </c>
      <c r="AZ21" s="562">
        <v>0.219962138268045</v>
      </c>
      <c r="BA21" s="562">
        <v>0.76414072505979913</v>
      </c>
      <c r="BB21" s="562"/>
      <c r="BC21" s="562"/>
      <c r="BD21" s="558"/>
      <c r="BE21" s="560">
        <v>43.451002120971694</v>
      </c>
      <c r="BF21" s="559">
        <v>6.3524000688643047</v>
      </c>
      <c r="BG21" s="558"/>
      <c r="BH21" s="557" t="s">
        <v>779</v>
      </c>
    </row>
    <row r="22" spans="1:60" ht="17">
      <c r="A22" s="407" t="s">
        <v>270</v>
      </c>
      <c r="B22" s="407" t="s">
        <v>435</v>
      </c>
      <c r="C22" s="438">
        <f>AVERAGE(AQ$16:AQ$20)</f>
        <v>68.54566445043676</v>
      </c>
      <c r="D22" s="438">
        <f>STDEV(AQ$16:AQ$20)</f>
        <v>4.8030083701575137</v>
      </c>
      <c r="E22" s="438">
        <f>AVERAGE(AQ$21:AQ$25)</f>
        <v>0.11885510621055129</v>
      </c>
      <c r="F22" s="438">
        <f>STDEV(AQ$21:AQ$25)</f>
        <v>2.9485538230751902E-2</v>
      </c>
      <c r="G22" s="673">
        <f>AVERAGE(AQ$26:AQ$30)</f>
        <v>47.06470370459202</v>
      </c>
      <c r="H22" s="673">
        <f>STDEV(AQ$26:AQ$30)</f>
        <v>28.232923845445448</v>
      </c>
      <c r="I22" s="673">
        <f>C22/G22</f>
        <v>1.4564133852976722</v>
      </c>
      <c r="J22" s="749">
        <f t="shared" si="1"/>
        <v>0.62614098801265938</v>
      </c>
      <c r="K22" s="749">
        <v>1.2522819760253188</v>
      </c>
      <c r="L22" s="407">
        <v>0.54</v>
      </c>
      <c r="M22" s="404">
        <v>-0.70699999999999996</v>
      </c>
      <c r="N22" s="779">
        <v>0.43049999999999999</v>
      </c>
      <c r="O22" s="749">
        <f t="shared" si="2"/>
        <v>0.2440737489025461</v>
      </c>
      <c r="P22" s="732">
        <f t="shared" si="3"/>
        <v>1.4635796490632489</v>
      </c>
      <c r="Q22" s="749">
        <f t="shared" si="4"/>
        <v>0.99510360521194496</v>
      </c>
      <c r="R22" s="749">
        <f t="shared" si="5"/>
        <v>0.42781476799941526</v>
      </c>
      <c r="S22" s="749">
        <f t="shared" si="6"/>
        <v>576.71619365690879</v>
      </c>
      <c r="T22" s="749">
        <f t="shared" si="7"/>
        <v>148.66907544709679</v>
      </c>
      <c r="U22" s="749">
        <v>297.33815089419357</v>
      </c>
      <c r="W22" s="478" t="s">
        <v>780</v>
      </c>
      <c r="X22" s="366"/>
      <c r="Y22" s="476"/>
      <c r="Z22" s="476"/>
      <c r="AA22" s="366">
        <v>612546.81017533795</v>
      </c>
      <c r="AB22" s="366">
        <v>112.32819807886703</v>
      </c>
      <c r="AC22" s="369">
        <v>18500</v>
      </c>
      <c r="AD22" s="366">
        <v>19078.819423537243</v>
      </c>
      <c r="AE22" s="366">
        <v>189.21612832323387</v>
      </c>
      <c r="AF22" s="366"/>
      <c r="AG22" s="366"/>
      <c r="AH22" s="367">
        <v>2.6882006733864903</v>
      </c>
      <c r="AI22" s="367">
        <v>2.7438906160764054</v>
      </c>
      <c r="AJ22" s="366">
        <v>15.184046890380245</v>
      </c>
      <c r="AK22" s="367">
        <v>3.7895288776342158</v>
      </c>
      <c r="AL22" s="368" t="s">
        <v>180</v>
      </c>
      <c r="AM22" s="366">
        <v>297.59424849151696</v>
      </c>
      <c r="AN22" s="366">
        <v>249.11198182287131</v>
      </c>
      <c r="AO22" s="365">
        <v>0.37691165314706715</v>
      </c>
      <c r="AP22" s="365">
        <v>5.1352696906655435E-2</v>
      </c>
      <c r="AQ22" s="368" t="s">
        <v>185</v>
      </c>
      <c r="AR22" s="366"/>
      <c r="AS22" s="365">
        <v>9.8892486484924269E-2</v>
      </c>
      <c r="AT22" s="365"/>
      <c r="AU22" s="365"/>
      <c r="AV22" s="365">
        <v>0.82108988211414202</v>
      </c>
      <c r="AW22" s="366">
        <v>0</v>
      </c>
      <c r="AX22" s="366">
        <v>0</v>
      </c>
      <c r="AY22" s="476">
        <v>9.3312921722255211E-4</v>
      </c>
      <c r="AZ22" s="366">
        <v>0</v>
      </c>
      <c r="BA22" s="365">
        <v>0.41888890985176491</v>
      </c>
      <c r="BB22" s="365"/>
      <c r="BC22" s="365"/>
      <c r="BD22" s="307"/>
      <c r="BE22" s="308">
        <v>45.488000869750998</v>
      </c>
      <c r="BF22" s="364">
        <v>6.0049852923051663</v>
      </c>
      <c r="BG22" s="307"/>
      <c r="BH22" s="475" t="s">
        <v>779</v>
      </c>
    </row>
    <row r="23" spans="1:60" ht="17">
      <c r="A23" s="435" t="s">
        <v>313</v>
      </c>
      <c r="B23" s="435" t="s">
        <v>18</v>
      </c>
      <c r="C23" s="434">
        <f>AVERAGE(AR$52:AR$56)</f>
        <v>0.6158076522353968</v>
      </c>
      <c r="D23" s="434">
        <f>STDEV(AR$52:AR$56)</f>
        <v>0.23575910035676298</v>
      </c>
      <c r="E23" s="434">
        <f>AVERAGE(AR$57:AR$61)</f>
        <v>2.6672897591544729</v>
      </c>
      <c r="F23" s="434">
        <f>STDEV(AR$57:AR$61)</f>
        <v>0.11836545824682244</v>
      </c>
      <c r="G23" s="434">
        <f>AVERAGE(AR$62:AR$66)</f>
        <v>477.55283402327024</v>
      </c>
      <c r="H23" s="434">
        <f>STDEV(AR$62:AR$66)</f>
        <v>184.90863848760776</v>
      </c>
      <c r="I23" s="784">
        <f t="shared" si="0"/>
        <v>1.2895068531943623E-3</v>
      </c>
      <c r="J23" s="786">
        <f t="shared" si="1"/>
        <v>6.870099092836599E-4</v>
      </c>
      <c r="K23" s="786">
        <v>1.3740198185673198E-3</v>
      </c>
      <c r="L23" s="435">
        <v>0.15</v>
      </c>
      <c r="M23" s="433">
        <v>2.88</v>
      </c>
      <c r="N23" s="778">
        <v>0.43049999999999999</v>
      </c>
      <c r="O23" s="570">
        <f t="shared" si="2"/>
        <v>0.2440737489025461</v>
      </c>
      <c r="P23" s="778">
        <f t="shared" si="3"/>
        <v>2.5831638001554526E-3</v>
      </c>
      <c r="Q23" s="570">
        <f t="shared" si="4"/>
        <v>0.49919670332820587</v>
      </c>
      <c r="R23" s="570">
        <f t="shared" si="5"/>
        <v>0.2659567733344344</v>
      </c>
      <c r="S23" s="570">
        <f t="shared" si="6"/>
        <v>0.2308739236604751</v>
      </c>
      <c r="T23" s="570">
        <f t="shared" si="7"/>
        <v>8.8980816008623759E-2</v>
      </c>
      <c r="U23" s="573">
        <v>0.17796163201724752</v>
      </c>
      <c r="W23" s="478" t="s">
        <v>778</v>
      </c>
      <c r="X23" s="366"/>
      <c r="Y23" s="366"/>
      <c r="Z23" s="366"/>
      <c r="AA23" s="366">
        <v>633253.22169316188</v>
      </c>
      <c r="AB23" s="366">
        <v>115.04418804061633</v>
      </c>
      <c r="AC23" s="369">
        <v>18500</v>
      </c>
      <c r="AD23" s="366">
        <v>19119.098769887009</v>
      </c>
      <c r="AE23" s="366">
        <v>188.81765244936477</v>
      </c>
      <c r="AF23" s="366"/>
      <c r="AG23" s="366"/>
      <c r="AH23" s="368" t="s">
        <v>214</v>
      </c>
      <c r="AI23" s="365">
        <v>7.7031543444718215E-2</v>
      </c>
      <c r="AJ23" s="366">
        <v>14.882173271308055</v>
      </c>
      <c r="AK23" s="367">
        <v>3.5030492905650221</v>
      </c>
      <c r="AL23" s="368" t="s">
        <v>133</v>
      </c>
      <c r="AM23" s="366">
        <v>317.77942472391436</v>
      </c>
      <c r="AN23" s="366">
        <v>265.95813221818582</v>
      </c>
      <c r="AO23" s="365">
        <v>0.38345287759126273</v>
      </c>
      <c r="AP23" s="365">
        <v>5.8826154301796794E-2</v>
      </c>
      <c r="AQ23" s="365">
        <v>0.13592563848616615</v>
      </c>
      <c r="AR23" s="366"/>
      <c r="AS23" s="365">
        <v>8.8839818480387273E-2</v>
      </c>
      <c r="AT23" s="365"/>
      <c r="AU23" s="365"/>
      <c r="AV23" s="365">
        <v>0.44887560669399101</v>
      </c>
      <c r="AW23" s="476">
        <v>2.0258895305702907E-3</v>
      </c>
      <c r="AX23" s="366">
        <v>0</v>
      </c>
      <c r="AY23" s="366">
        <v>0</v>
      </c>
      <c r="AZ23" s="367">
        <v>0</v>
      </c>
      <c r="BA23" s="365">
        <v>0.39660454777276666</v>
      </c>
      <c r="BB23" s="365"/>
      <c r="BC23" s="365"/>
      <c r="BD23" s="307"/>
      <c r="BE23" s="308">
        <v>43.451002120971694</v>
      </c>
      <c r="BF23" s="364">
        <v>5.5265677621993294</v>
      </c>
      <c r="BG23" s="307"/>
      <c r="BH23" s="475" t="s">
        <v>777</v>
      </c>
    </row>
    <row r="24" spans="1:60" ht="17">
      <c r="A24" s="407" t="s">
        <v>270</v>
      </c>
      <c r="B24" s="407" t="s">
        <v>830</v>
      </c>
      <c r="C24" s="438">
        <f>AVERAGE(AS$16:AS$20)</f>
        <v>81.54164442310821</v>
      </c>
      <c r="D24" s="438">
        <f>STDEV(AS$16:AS$20)</f>
        <v>6.4203505175040405</v>
      </c>
      <c r="E24" s="438">
        <f>AVERAGE(AS$21:AS$25)</f>
        <v>0.12773128542965123</v>
      </c>
      <c r="F24" s="438">
        <f>STDEV(AS$21:AS$25)</f>
        <v>4.3780941472634727E-2</v>
      </c>
      <c r="G24" s="438">
        <f>AVERAGE(AS$26:AS$30)</f>
        <v>89.573370554637876</v>
      </c>
      <c r="H24" s="438">
        <f>STDEV(AS$26:AS$30)</f>
        <v>6.2947091387875806</v>
      </c>
      <c r="I24" s="673">
        <f t="shared" si="0"/>
        <v>0.91033355023041718</v>
      </c>
      <c r="J24" s="749">
        <f t="shared" si="1"/>
        <v>7.617266652961148E-2</v>
      </c>
      <c r="K24" s="749">
        <v>0.15234533305922296</v>
      </c>
      <c r="L24" s="407">
        <v>0.54</v>
      </c>
      <c r="M24" s="404">
        <v>-0.70699999999999996</v>
      </c>
      <c r="N24" s="779">
        <v>0.43049999999999999</v>
      </c>
      <c r="O24" s="749">
        <f t="shared" si="2"/>
        <v>0.2440737489025461</v>
      </c>
      <c r="P24" s="732">
        <f t="shared" si="3"/>
        <v>1.4635796490632489</v>
      </c>
      <c r="Q24" s="749">
        <f t="shared" si="4"/>
        <v>0.62199112348485308</v>
      </c>
      <c r="R24" s="749">
        <f t="shared" si="5"/>
        <v>5.2045453473177981E-2</v>
      </c>
      <c r="S24" s="749">
        <f t="shared" si="6"/>
        <v>638.38427796937629</v>
      </c>
      <c r="T24" s="749">
        <f t="shared" si="7"/>
        <v>224.51049229834496</v>
      </c>
      <c r="U24" s="749">
        <v>449.02098459668991</v>
      </c>
      <c r="W24" s="478" t="s">
        <v>776</v>
      </c>
      <c r="X24" s="366"/>
      <c r="Y24" s="366"/>
      <c r="Z24" s="366"/>
      <c r="AA24" s="366">
        <v>607505.87094166491</v>
      </c>
      <c r="AB24" s="366">
        <v>107.55234590559436</v>
      </c>
      <c r="AC24" s="369">
        <v>18500</v>
      </c>
      <c r="AD24" s="366">
        <v>18265.036625704244</v>
      </c>
      <c r="AE24" s="366">
        <v>184.36394089456877</v>
      </c>
      <c r="AF24" s="366"/>
      <c r="AG24" s="366"/>
      <c r="AH24" s="365">
        <v>2.6859500777844564E-2</v>
      </c>
      <c r="AI24" s="365">
        <v>0.1084250738254138</v>
      </c>
      <c r="AJ24" s="366">
        <v>14.029250283155186</v>
      </c>
      <c r="AK24" s="367">
        <v>3.8818109873279445</v>
      </c>
      <c r="AL24" s="477" t="s">
        <v>64</v>
      </c>
      <c r="AM24" s="366">
        <v>310.04622873700805</v>
      </c>
      <c r="AN24" s="366">
        <v>252.16140762242759</v>
      </c>
      <c r="AO24" s="365">
        <v>0.51673098502676662</v>
      </c>
      <c r="AP24" s="365">
        <v>5.7649602514860634E-2</v>
      </c>
      <c r="AQ24" s="365">
        <v>8.1097475184277609E-2</v>
      </c>
      <c r="AR24" s="366"/>
      <c r="AS24" s="365">
        <v>0.10292493025956805</v>
      </c>
      <c r="AT24" s="365"/>
      <c r="AU24" s="365"/>
      <c r="AV24" s="365">
        <v>0.45932758983877908</v>
      </c>
      <c r="AW24" s="476">
        <v>4.6231671702554582E-3</v>
      </c>
      <c r="AX24" s="366">
        <v>0</v>
      </c>
      <c r="AY24" s="476">
        <v>2.0787053870970013E-3</v>
      </c>
      <c r="AZ24" s="366">
        <v>0</v>
      </c>
      <c r="BA24" s="365">
        <v>0.32718621937905451</v>
      </c>
      <c r="BB24" s="365"/>
      <c r="BC24" s="365"/>
      <c r="BD24" s="307"/>
      <c r="BE24" s="308">
        <v>43.451002120971694</v>
      </c>
      <c r="BF24" s="364">
        <v>5.7057174009382399</v>
      </c>
      <c r="BG24" s="307"/>
      <c r="BH24" s="475" t="s">
        <v>775</v>
      </c>
    </row>
    <row r="25" spans="1:60" ht="17">
      <c r="A25" s="435" t="s">
        <v>313</v>
      </c>
      <c r="B25" s="435" t="s">
        <v>428</v>
      </c>
      <c r="C25" s="434">
        <f>AVERAGE(AT$52:AT$56)</f>
        <v>237.64104845184548</v>
      </c>
      <c r="D25" s="434">
        <f>STDEV(AT$52:AT$56)</f>
        <v>37.069939456973898</v>
      </c>
      <c r="E25" s="434">
        <f>AVERAGE(AT$57:AT$61)</f>
        <v>0.61354038236962205</v>
      </c>
      <c r="F25" s="434">
        <v>0</v>
      </c>
      <c r="G25" s="434">
        <f>AVERAGE(AT$62:AT$66)</f>
        <v>303.37801087092373</v>
      </c>
      <c r="H25" s="434">
        <f>STDEV(AT$62:AT$66)</f>
        <v>169.94061021258153</v>
      </c>
      <c r="I25" s="434">
        <f t="shared" si="0"/>
        <v>0.78331665426125119</v>
      </c>
      <c r="J25" s="570">
        <f t="shared" si="1"/>
        <v>0.36798019725543979</v>
      </c>
      <c r="K25" s="570">
        <v>0.73596039451087958</v>
      </c>
      <c r="L25" s="435">
        <v>0.13</v>
      </c>
      <c r="M25" s="433">
        <v>-0.84</v>
      </c>
      <c r="N25" s="778">
        <v>0.43049999999999999</v>
      </c>
      <c r="O25" s="570">
        <f t="shared" si="2"/>
        <v>0.2440737489025461</v>
      </c>
      <c r="P25" s="433">
        <f t="shared" si="3"/>
        <v>0.42503593753316549</v>
      </c>
      <c r="Q25" s="570">
        <f t="shared" si="4"/>
        <v>1.842942172860687</v>
      </c>
      <c r="R25" s="570">
        <f t="shared" si="5"/>
        <v>0.8657625503178219</v>
      </c>
      <c r="S25" s="570">
        <f t="shared" si="6"/>
        <v>387.32747718092452</v>
      </c>
      <c r="T25" s="570">
        <f t="shared" si="7"/>
        <v>60.419722193023368</v>
      </c>
      <c r="U25" s="573">
        <v>120.83944438604674</v>
      </c>
      <c r="W25" s="463" t="s">
        <v>774</v>
      </c>
      <c r="X25" s="461"/>
      <c r="Y25" s="461"/>
      <c r="Z25" s="461"/>
      <c r="AA25" s="459">
        <v>666823.0887524666</v>
      </c>
      <c r="AB25" s="459">
        <v>111.35851248581855</v>
      </c>
      <c r="AC25" s="462">
        <v>18500</v>
      </c>
      <c r="AD25" s="459">
        <v>18741.561908953379</v>
      </c>
      <c r="AE25" s="459">
        <v>200.02672974322604</v>
      </c>
      <c r="AF25" s="459"/>
      <c r="AG25" s="460"/>
      <c r="AH25" s="492" t="s">
        <v>57</v>
      </c>
      <c r="AI25" s="492" t="s">
        <v>104</v>
      </c>
      <c r="AJ25" s="459">
        <v>14.359694946067393</v>
      </c>
      <c r="AK25" s="492" t="s">
        <v>750</v>
      </c>
      <c r="AL25" s="568" t="s">
        <v>397</v>
      </c>
      <c r="AM25" s="459">
        <v>318.94228914601524</v>
      </c>
      <c r="AN25" s="459">
        <v>259.55678196856928</v>
      </c>
      <c r="AO25" s="461">
        <v>0.39308335797059207</v>
      </c>
      <c r="AP25" s="461">
        <v>6.0215120319202162E-2</v>
      </c>
      <c r="AQ25" s="461">
        <v>0.11079796138671219</v>
      </c>
      <c r="AR25" s="459"/>
      <c r="AS25" s="461">
        <v>0.15940520589086526</v>
      </c>
      <c r="AT25" s="461"/>
      <c r="AU25" s="461"/>
      <c r="AV25" s="461">
        <v>0.43876400782359742</v>
      </c>
      <c r="AW25" s="574">
        <v>5.6435505764217348E-3</v>
      </c>
      <c r="AX25" s="459">
        <v>0</v>
      </c>
      <c r="AY25" s="459">
        <v>0</v>
      </c>
      <c r="AZ25" s="459">
        <v>0</v>
      </c>
      <c r="BA25" s="461">
        <v>0.50454997320194606</v>
      </c>
      <c r="BB25" s="461"/>
      <c r="BC25" s="461"/>
      <c r="BD25" s="456"/>
      <c r="BE25" s="458">
        <v>46.166000366210994</v>
      </c>
      <c r="BF25" s="457">
        <v>2.5328581614522827</v>
      </c>
      <c r="BG25" s="456"/>
      <c r="BH25" s="455" t="s">
        <v>772</v>
      </c>
    </row>
    <row r="26" spans="1:60" ht="17">
      <c r="A26" s="435" t="s">
        <v>313</v>
      </c>
      <c r="B26" s="435" t="s">
        <v>20</v>
      </c>
      <c r="C26" s="434">
        <f>AVERAGE(AU$52:AU$56)</f>
        <v>139.77619452803006</v>
      </c>
      <c r="D26" s="434">
        <f>STDEV(AU$52:AU$56)</f>
        <v>18.653570950966287</v>
      </c>
      <c r="E26" s="720">
        <f>AVERAGE(AU$57:AU$61)</f>
        <v>0.16056375451566762</v>
      </c>
      <c r="F26" s="720">
        <f>STDEV(AU$57:AU$61)</f>
        <v>0.11675546773640903</v>
      </c>
      <c r="G26" s="434">
        <f>AVERAGE(AU$62:AU$66)</f>
        <v>223.78668878106055</v>
      </c>
      <c r="H26" s="434">
        <f>STDEV(AU$62:AU$66)</f>
        <v>108.98764024072543</v>
      </c>
      <c r="I26" s="434">
        <f t="shared" si="0"/>
        <v>0.62459565977482556</v>
      </c>
      <c r="J26" s="570">
        <f t="shared" si="1"/>
        <v>0.23149855189142435</v>
      </c>
      <c r="K26" s="570">
        <v>0.4629971037828487</v>
      </c>
      <c r="L26" s="435">
        <v>0.12</v>
      </c>
      <c r="M26" s="433">
        <v>-0.61</v>
      </c>
      <c r="N26" s="778">
        <v>0.43049999999999999</v>
      </c>
      <c r="O26" s="570">
        <f t="shared" si="2"/>
        <v>0.2440737489025461</v>
      </c>
      <c r="P26" s="433">
        <f t="shared" si="3"/>
        <v>0.28365692606899473</v>
      </c>
      <c r="Q26" s="573">
        <f t="shared" si="4"/>
        <v>2.2019404512016156</v>
      </c>
      <c r="R26" s="570">
        <f t="shared" si="5"/>
        <v>0.81612162657052933</v>
      </c>
      <c r="S26" s="571">
        <f t="shared" si="6"/>
        <v>870.53391937462982</v>
      </c>
      <c r="T26" s="571">
        <f t="shared" si="7"/>
        <v>643.58941333674352</v>
      </c>
      <c r="U26" s="571">
        <v>1287.178826673487</v>
      </c>
      <c r="W26" s="567" t="s">
        <v>771</v>
      </c>
      <c r="X26" s="564"/>
      <c r="Y26" s="562"/>
      <c r="Z26" s="562"/>
      <c r="AA26" s="561">
        <v>1261351.2294486105</v>
      </c>
      <c r="AB26" s="561">
        <v>781.34625960941742</v>
      </c>
      <c r="AC26" s="565">
        <v>459100</v>
      </c>
      <c r="AD26" s="561">
        <v>481957.66599621839</v>
      </c>
      <c r="AE26" s="561">
        <v>2356.9399047452116</v>
      </c>
      <c r="AF26" s="561"/>
      <c r="AG26" s="564"/>
      <c r="AH26" s="561">
        <v>9.9978082029596003</v>
      </c>
      <c r="AI26" s="564">
        <v>7.8937964845902</v>
      </c>
      <c r="AJ26" s="561">
        <v>33.777295511825621</v>
      </c>
      <c r="AK26" s="563" t="s">
        <v>829</v>
      </c>
      <c r="AL26" s="561">
        <v>98.422696598461272</v>
      </c>
      <c r="AM26" s="561">
        <v>392.26729598071216</v>
      </c>
      <c r="AN26" s="561">
        <v>314.74048279420288</v>
      </c>
      <c r="AO26" s="564">
        <v>8.9911852188819203</v>
      </c>
      <c r="AP26" s="561">
        <v>11.624947878992138</v>
      </c>
      <c r="AQ26" s="561">
        <v>81.349719263771291</v>
      </c>
      <c r="AR26" s="561"/>
      <c r="AS26" s="561">
        <v>94.024402072271499</v>
      </c>
      <c r="AT26" s="562"/>
      <c r="AU26" s="562"/>
      <c r="AV26" s="564">
        <v>9.127384875440848</v>
      </c>
      <c r="AW26" s="562">
        <v>0.27996651394843319</v>
      </c>
      <c r="AX26" s="562">
        <v>0.13176559181813496</v>
      </c>
      <c r="AY26" s="562">
        <v>0.27237640774305116</v>
      </c>
      <c r="AZ26" s="562">
        <v>0.90859099109840347</v>
      </c>
      <c r="BA26" s="561">
        <v>120.147811084661</v>
      </c>
      <c r="BB26" s="562"/>
      <c r="BC26" s="562"/>
      <c r="BD26" s="558"/>
      <c r="BE26" s="560">
        <v>35.983001708984396</v>
      </c>
      <c r="BF26" s="559">
        <v>1.1673582558931044</v>
      </c>
      <c r="BG26" s="558"/>
      <c r="BH26" s="557" t="s">
        <v>768</v>
      </c>
    </row>
    <row r="27" spans="1:60" ht="18" thickBot="1">
      <c r="A27" s="407" t="s">
        <v>270</v>
      </c>
      <c r="B27" s="407" t="s">
        <v>422</v>
      </c>
      <c r="C27" s="438">
        <f>AVERAGE(AV$16:AV$20)</f>
        <v>50.435719881632977</v>
      </c>
      <c r="D27" s="438">
        <f>STDEV(AV$16:AV$20)</f>
        <v>7.7775808908247965</v>
      </c>
      <c r="E27" s="438">
        <f>AVERAGE(AV$21:AV$25)</f>
        <v>0.57577863973187871</v>
      </c>
      <c r="F27" s="438">
        <f>STDEV(AV$21:AV$25)</f>
        <v>0.17808450429359868</v>
      </c>
      <c r="G27" s="673">
        <f>AVERAGE(AV$26:AV$30)</f>
        <v>4.5899011137093</v>
      </c>
      <c r="H27" s="673">
        <f>STDEV(AV$26:AV$30)</f>
        <v>3.3393138715314059</v>
      </c>
      <c r="I27" s="405">
        <f t="shared" si="0"/>
        <v>10.988410998875239</v>
      </c>
      <c r="J27" s="571">
        <f t="shared" si="1"/>
        <v>7.5107439447344255</v>
      </c>
      <c r="K27" s="571">
        <v>15.021487889468851</v>
      </c>
      <c r="L27" s="407">
        <v>0.95</v>
      </c>
      <c r="M27" s="404">
        <v>-3.88</v>
      </c>
      <c r="N27" s="779">
        <v>0.43049999999999999</v>
      </c>
      <c r="O27" s="749">
        <f t="shared" si="2"/>
        <v>0.2440737489025461</v>
      </c>
      <c r="P27" s="732">
        <f t="shared" si="3"/>
        <v>226.01738535605787</v>
      </c>
      <c r="Q27" s="749">
        <f t="shared" si="4"/>
        <v>4.8617547634951082E-2</v>
      </c>
      <c r="R27" s="749">
        <f t="shared" si="5"/>
        <v>3.3230823960299909E-2</v>
      </c>
      <c r="S27" s="749">
        <f t="shared" si="6"/>
        <v>87.595677229567329</v>
      </c>
      <c r="T27" s="749">
        <f t="shared" si="7"/>
        <v>30.273453682210704</v>
      </c>
      <c r="U27" s="749">
        <v>60.546907364421408</v>
      </c>
      <c r="W27" s="478" t="s">
        <v>767</v>
      </c>
      <c r="X27" s="367"/>
      <c r="Y27" s="365"/>
      <c r="Z27" s="365"/>
      <c r="AA27" s="366">
        <v>1436103.3372994172</v>
      </c>
      <c r="AB27" s="366">
        <v>691.48609060559079</v>
      </c>
      <c r="AC27" s="369">
        <v>459100</v>
      </c>
      <c r="AD27" s="366">
        <v>477908.96310652985</v>
      </c>
      <c r="AE27" s="366">
        <v>2437.1294205772169</v>
      </c>
      <c r="AF27" s="366"/>
      <c r="AG27" s="367"/>
      <c r="AH27" s="367">
        <v>8.5419405862603845</v>
      </c>
      <c r="AI27" s="367">
        <v>4.504945011328954</v>
      </c>
      <c r="AJ27" s="366">
        <v>38.89160625920708</v>
      </c>
      <c r="AK27" s="366">
        <v>14.741131566039414</v>
      </c>
      <c r="AL27" s="366">
        <v>81.004182972734952</v>
      </c>
      <c r="AM27" s="366">
        <v>460.73533846092954</v>
      </c>
      <c r="AN27" s="366">
        <v>375.24592537970466</v>
      </c>
      <c r="AO27" s="367">
        <v>5.9546584426905564</v>
      </c>
      <c r="AP27" s="367">
        <v>6.9586034955627118</v>
      </c>
      <c r="AQ27" s="366">
        <v>74.163803043319263</v>
      </c>
      <c r="AR27" s="366"/>
      <c r="AS27" s="366">
        <v>85.122339037004238</v>
      </c>
      <c r="AT27" s="365"/>
      <c r="AU27" s="365"/>
      <c r="AV27" s="367">
        <v>6.9597170469721421</v>
      </c>
      <c r="AW27" s="365">
        <v>0.15387320361347456</v>
      </c>
      <c r="AX27" s="365">
        <v>6.3364387443434575E-2</v>
      </c>
      <c r="AY27" s="365">
        <v>0.13045868512552181</v>
      </c>
      <c r="AZ27" s="365">
        <v>0.7942741556385623</v>
      </c>
      <c r="BA27" s="366">
        <v>84.714301933018433</v>
      </c>
      <c r="BB27" s="365"/>
      <c r="BC27" s="365"/>
      <c r="BD27" s="307"/>
      <c r="BE27" s="308">
        <v>44.130002975463896</v>
      </c>
      <c r="BF27" s="364">
        <v>1.2299852553395862</v>
      </c>
      <c r="BG27" s="307"/>
      <c r="BH27" s="475" t="s">
        <v>765</v>
      </c>
    </row>
    <row r="28" spans="1:60" ht="17">
      <c r="A28" s="407" t="s">
        <v>270</v>
      </c>
      <c r="B28" s="407" t="s">
        <v>22</v>
      </c>
      <c r="C28" s="405">
        <f>AVERAGE(AW$16:AW$20)</f>
        <v>13.950827635065782</v>
      </c>
      <c r="D28" s="405">
        <f>STDEV(AW$16:AW$20)</f>
        <v>20.771629953731011</v>
      </c>
      <c r="E28" s="438">
        <f>AVERAGE(AW$21:AW$25)</f>
        <v>5.2427061627974584E-3</v>
      </c>
      <c r="F28" s="438">
        <f>STDEV(AW$21:AW$25)</f>
        <v>5.3312718639977556E-3</v>
      </c>
      <c r="G28" s="405">
        <f>AVERAGE(AW$26:AW$30)</f>
        <v>0.11634244718997094</v>
      </c>
      <c r="H28" s="405">
        <f>STDEV(AW$26:AW$30)</f>
        <v>0.12722514919761596</v>
      </c>
      <c r="I28" s="405">
        <f t="shared" si="0"/>
        <v>119.91176025622043</v>
      </c>
      <c r="J28" s="571">
        <f t="shared" si="1"/>
        <v>321.93282039981301</v>
      </c>
      <c r="K28" s="571">
        <v>643.86564079962602</v>
      </c>
      <c r="L28" s="407">
        <v>1.65</v>
      </c>
      <c r="M28" s="404">
        <v>-5.08</v>
      </c>
      <c r="N28" s="779">
        <v>0.43049999999999999</v>
      </c>
      <c r="O28" s="749">
        <f t="shared" si="2"/>
        <v>0.2440737489025461</v>
      </c>
      <c r="P28" s="732">
        <f t="shared" si="3"/>
        <v>2132.4403874565992</v>
      </c>
      <c r="Q28" s="749">
        <f t="shared" si="4"/>
        <v>5.6232174630326426E-2</v>
      </c>
      <c r="R28" s="749">
        <f t="shared" si="5"/>
        <v>0.15096920049605148</v>
      </c>
      <c r="S28" s="571">
        <f t="shared" si="6"/>
        <v>2660.9974318342784</v>
      </c>
      <c r="T28" s="571">
        <f t="shared" si="7"/>
        <v>4797.8799408187633</v>
      </c>
      <c r="U28" s="571">
        <v>9595.7598816375266</v>
      </c>
      <c r="W28" s="556" t="s">
        <v>764</v>
      </c>
      <c r="X28" s="552"/>
      <c r="Y28" s="552"/>
      <c r="Z28" s="552"/>
      <c r="AA28" s="551">
        <v>592493.12945727492</v>
      </c>
      <c r="AB28" s="551">
        <v>286.77316319851604</v>
      </c>
      <c r="AC28" s="555">
        <v>218000</v>
      </c>
      <c r="AD28" s="551">
        <v>233828.38303951494</v>
      </c>
      <c r="AE28" s="551">
        <v>1302.7279949595963</v>
      </c>
      <c r="AF28" s="551"/>
      <c r="AG28" s="552"/>
      <c r="AH28" s="554">
        <v>3.7262404968553935</v>
      </c>
      <c r="AI28" s="554">
        <v>1.6180871485550172</v>
      </c>
      <c r="AJ28" s="551">
        <v>14.637800321673513</v>
      </c>
      <c r="AK28" s="554">
        <v>6.0518532740596234</v>
      </c>
      <c r="AL28" s="551">
        <v>32.197065038942611</v>
      </c>
      <c r="AM28" s="551">
        <v>190.03712767997195</v>
      </c>
      <c r="AN28" s="551">
        <v>150.16224708914851</v>
      </c>
      <c r="AO28" s="554">
        <v>1.5871806210724955</v>
      </c>
      <c r="AP28" s="554">
        <v>1.4180283703380347</v>
      </c>
      <c r="AQ28" s="551">
        <v>23.82445236554398</v>
      </c>
      <c r="AR28" s="551"/>
      <c r="AS28" s="552"/>
      <c r="AT28" s="552"/>
      <c r="AU28" s="552"/>
      <c r="AV28" s="554">
        <v>2.9201890049931323</v>
      </c>
      <c r="AW28" s="553" t="s">
        <v>57</v>
      </c>
      <c r="AX28" s="552">
        <v>1.3623648469927242E-2</v>
      </c>
      <c r="AY28" s="552">
        <v>1.8309449324680104E-2</v>
      </c>
      <c r="AZ28" s="552">
        <v>5.1032111495895822E-2</v>
      </c>
      <c r="BA28" s="552"/>
      <c r="BB28" s="552"/>
      <c r="BC28" s="552"/>
      <c r="BD28" s="548"/>
      <c r="BE28" s="550">
        <v>47.524002075195298</v>
      </c>
      <c r="BF28" s="549">
        <v>3.0222954797344523</v>
      </c>
      <c r="BG28" s="548"/>
      <c r="BH28" s="547" t="s">
        <v>763</v>
      </c>
    </row>
    <row r="29" spans="1:60" ht="18" thickBot="1">
      <c r="A29" s="407" t="s">
        <v>270</v>
      </c>
      <c r="B29" s="407" t="s">
        <v>23</v>
      </c>
      <c r="C29" s="405">
        <f>AVERAGE(AX$16:AX$20)</f>
        <v>58.813583277052999</v>
      </c>
      <c r="D29" s="405">
        <f>STDEV(AX$16:AX$20)</f>
        <v>68.531557929168358</v>
      </c>
      <c r="E29" s="405">
        <f>AVERAGE(AX$21:AX$25)</f>
        <v>0.21472518109257033</v>
      </c>
      <c r="F29" s="405">
        <f>STDEV(AX$21:AX$25)</f>
        <v>0.48014010140393981</v>
      </c>
      <c r="G29" s="405">
        <f>AVERAGE(AX$26:AX$30)</f>
        <v>4.7166901871251707E-2</v>
      </c>
      <c r="H29" s="405">
        <f>STDEV(AX$26:AX$30)</f>
        <v>5.2850287534246476E-2</v>
      </c>
      <c r="I29" s="405">
        <f t="shared" si="0"/>
        <v>1246.924876210705</v>
      </c>
      <c r="J29" s="571">
        <f t="shared" si="1"/>
        <v>3018.4846895093106</v>
      </c>
      <c r="K29" s="571">
        <v>6036.9693790186211</v>
      </c>
      <c r="L29" s="407">
        <v>1.71</v>
      </c>
      <c r="M29" s="404">
        <v>-5.34</v>
      </c>
      <c r="N29" s="779">
        <v>0.43049999999999999</v>
      </c>
      <c r="O29" s="749">
        <f t="shared" si="2"/>
        <v>0.2440737489025461</v>
      </c>
      <c r="P29" s="732">
        <f t="shared" si="3"/>
        <v>3188.8462977451859</v>
      </c>
      <c r="Q29" s="749">
        <f t="shared" si="4"/>
        <v>0.39102696078277527</v>
      </c>
      <c r="R29" s="749">
        <f t="shared" si="5"/>
        <v>0.94657578561991618</v>
      </c>
      <c r="S29" s="571">
        <f t="shared" si="6"/>
        <v>273.90165875188075</v>
      </c>
      <c r="T29" s="571">
        <f t="shared" si="7"/>
        <v>690.63254332480813</v>
      </c>
      <c r="U29" s="571">
        <v>1381.2650866496163</v>
      </c>
      <c r="W29" s="546" t="s">
        <v>762</v>
      </c>
      <c r="X29" s="365"/>
      <c r="Y29" s="365"/>
      <c r="Z29" s="365"/>
      <c r="AA29" s="366">
        <v>643218.06150777277</v>
      </c>
      <c r="AB29" s="366">
        <v>327.21620237299987</v>
      </c>
      <c r="AC29" s="545">
        <v>218000</v>
      </c>
      <c r="AD29" s="366">
        <v>235936.55078249471</v>
      </c>
      <c r="AE29" s="366">
        <v>1297.5846080191991</v>
      </c>
      <c r="AF29" s="366"/>
      <c r="AG29" s="365"/>
      <c r="AH29" s="367">
        <v>3.2948186031431059</v>
      </c>
      <c r="AI29" s="367">
        <v>1.6434876924861614</v>
      </c>
      <c r="AJ29" s="366">
        <v>18.566568391919557</v>
      </c>
      <c r="AK29" s="367">
        <v>5.7836184002004831</v>
      </c>
      <c r="AL29" s="366">
        <v>35.013917826247557</v>
      </c>
      <c r="AM29" s="366">
        <v>212.95521723412435</v>
      </c>
      <c r="AN29" s="366">
        <v>168.73617437952012</v>
      </c>
      <c r="AO29" s="367">
        <v>2.2126655441245879</v>
      </c>
      <c r="AP29" s="367">
        <v>2.364294063326386</v>
      </c>
      <c r="AQ29" s="366">
        <v>30.336063700314277</v>
      </c>
      <c r="AR29" s="366"/>
      <c r="AS29" s="365"/>
      <c r="AT29" s="365"/>
      <c r="AU29" s="365"/>
      <c r="AV29" s="367">
        <v>2.9445501018683791</v>
      </c>
      <c r="AW29" s="365">
        <v>2.4300005431532282E-2</v>
      </c>
      <c r="AX29" s="365">
        <v>2.7080881624761736E-2</v>
      </c>
      <c r="AY29" s="365">
        <v>3.7970649903037418E-2</v>
      </c>
      <c r="AZ29" s="365">
        <v>0.11895814792261632</v>
      </c>
      <c r="BA29" s="365"/>
      <c r="BB29" s="365"/>
      <c r="BC29" s="365"/>
      <c r="BD29" s="307"/>
      <c r="BE29" s="308">
        <v>41.414001464843793</v>
      </c>
      <c r="BF29" s="364">
        <v>3.0466998487474899</v>
      </c>
      <c r="BG29" s="307"/>
      <c r="BH29" s="544" t="s">
        <v>761</v>
      </c>
    </row>
    <row r="30" spans="1:60" ht="18" thickBot="1">
      <c r="A30" s="407" t="s">
        <v>270</v>
      </c>
      <c r="B30" s="407" t="s">
        <v>24</v>
      </c>
      <c r="C30" s="405">
        <f>AVERAGE(AY$16:AY$20)</f>
        <v>592.71818278531543</v>
      </c>
      <c r="D30" s="405">
        <f>STDEV(AY$16:AY$20)</f>
        <v>825.82365500044045</v>
      </c>
      <c r="E30" s="405">
        <f>AVERAGE(AY$21:AY$25)</f>
        <v>1.5189857460417768E-3</v>
      </c>
      <c r="F30" s="405">
        <f>STDEV(AY$21:AY$25)</f>
        <v>1.9144130631704908E-3</v>
      </c>
      <c r="G30" s="405">
        <f>AVERAGE(AY$26:AY$30)</f>
        <v>9.1823038419258096E-2</v>
      </c>
      <c r="H30" s="405">
        <f>STDEV(AY$26:AY$30)</f>
        <v>0.11272536347867572</v>
      </c>
      <c r="I30" s="405">
        <f t="shared" si="0"/>
        <v>6455.0051162432928</v>
      </c>
      <c r="J30" s="571">
        <f t="shared" si="1"/>
        <v>18721.934477231862</v>
      </c>
      <c r="K30" s="571">
        <v>37443.868954463724</v>
      </c>
      <c r="L30" s="407">
        <v>1.49</v>
      </c>
      <c r="M30" s="404">
        <v>-5.04</v>
      </c>
      <c r="N30" s="779">
        <v>0.43049999999999999</v>
      </c>
      <c r="O30" s="749">
        <f t="shared" si="2"/>
        <v>0.2440737489025461</v>
      </c>
      <c r="P30" s="732">
        <f t="shared" si="3"/>
        <v>1820.0363688036857</v>
      </c>
      <c r="Q30" s="749">
        <f t="shared" si="4"/>
        <v>3.5466352359135458</v>
      </c>
      <c r="R30" s="749">
        <f t="shared" si="5"/>
        <v>10.286571630180024</v>
      </c>
      <c r="S30" s="571">
        <f t="shared" si="6"/>
        <v>390206.54692108865</v>
      </c>
      <c r="T30" s="571">
        <f t="shared" si="7"/>
        <v>733095.1766547967</v>
      </c>
      <c r="U30" s="571">
        <v>1466190.3533095934</v>
      </c>
      <c r="W30" s="572" t="s">
        <v>760</v>
      </c>
      <c r="X30" s="540"/>
      <c r="Y30" s="540"/>
      <c r="Z30" s="540"/>
      <c r="AA30" s="537">
        <v>431006.2579656837</v>
      </c>
      <c r="AB30" s="537">
        <v>241.00862840385352</v>
      </c>
      <c r="AC30" s="366">
        <v>95559.919266678218</v>
      </c>
      <c r="AD30" s="542">
        <v>218000</v>
      </c>
      <c r="AE30" s="537">
        <v>1209.6524378090737</v>
      </c>
      <c r="AF30" s="537"/>
      <c r="AG30" s="540"/>
      <c r="AH30" s="538">
        <v>2.4103890706862194</v>
      </c>
      <c r="AI30" s="539" t="s">
        <v>64</v>
      </c>
      <c r="AJ30" s="538">
        <v>9.6036060428268222</v>
      </c>
      <c r="AK30" s="539" t="s">
        <v>828</v>
      </c>
      <c r="AL30" s="537">
        <v>26.459052301924558</v>
      </c>
      <c r="AM30" s="537">
        <v>138.05605033521053</v>
      </c>
      <c r="AN30" s="537">
        <v>108.89025796420778</v>
      </c>
      <c r="AO30" s="538">
        <v>1.129666953756435</v>
      </c>
      <c r="AP30" s="540">
        <v>0.34772083752707272</v>
      </c>
      <c r="AQ30" s="537">
        <v>25.649480150011261</v>
      </c>
      <c r="AR30" s="537"/>
      <c r="AS30" s="540"/>
      <c r="AT30" s="540"/>
      <c r="AU30" s="540"/>
      <c r="AV30" s="538">
        <v>0.9976645392719955</v>
      </c>
      <c r="AW30" s="537">
        <v>7.2300657664437287E-3</v>
      </c>
      <c r="AX30" s="537">
        <v>0</v>
      </c>
      <c r="AY30" s="537">
        <v>0</v>
      </c>
      <c r="AZ30" s="539" t="s">
        <v>57</v>
      </c>
      <c r="BA30" s="540"/>
      <c r="BB30" s="540"/>
      <c r="BC30" s="540"/>
      <c r="BD30" s="534"/>
      <c r="BE30" s="536">
        <v>44.809001922607393</v>
      </c>
      <c r="BF30" s="535">
        <v>3.8463200612020838</v>
      </c>
      <c r="BG30" s="534"/>
      <c r="BH30" s="533" t="s">
        <v>758</v>
      </c>
    </row>
    <row r="31" spans="1:60" ht="17">
      <c r="A31" s="407" t="s">
        <v>270</v>
      </c>
      <c r="B31" s="407" t="s">
        <v>25</v>
      </c>
      <c r="C31" s="673">
        <f>AVERAGE(AZ$16:AZ$20)</f>
        <v>90.79273857005262</v>
      </c>
      <c r="D31" s="673">
        <f>STDEV(AZ$16:AZ$20)</f>
        <v>70.705706738413099</v>
      </c>
      <c r="E31" s="405">
        <f>AVERAGE(AZ$21:AZ$25)</f>
        <v>4.3992427653609001E-2</v>
      </c>
      <c r="F31" s="405">
        <f>STDEV(AZ$21:AZ$25)</f>
        <v>9.8370058728711296E-2</v>
      </c>
      <c r="G31" s="673">
        <f>AVERAGE(AZ$26:AZ$30)</f>
        <v>0.46821385153886946</v>
      </c>
      <c r="H31" s="673">
        <f>STDEV(AZ$26:AZ$30)</f>
        <v>0.4458204039333884</v>
      </c>
      <c r="I31" s="405">
        <f t="shared" si="0"/>
        <v>193.91297004914713</v>
      </c>
      <c r="J31" s="571">
        <f t="shared" si="1"/>
        <v>326.8194002484031</v>
      </c>
      <c r="K31" s="571">
        <v>653.6388004968062</v>
      </c>
      <c r="L31" s="407">
        <v>0.95</v>
      </c>
      <c r="M31" s="404">
        <v>-4.2</v>
      </c>
      <c r="N31" s="779">
        <v>0.43049999999999999</v>
      </c>
      <c r="O31" s="749">
        <f t="shared" si="2"/>
        <v>0.2440737489025461</v>
      </c>
      <c r="P31" s="732">
        <f t="shared" si="3"/>
        <v>354.92378439826058</v>
      </c>
      <c r="Q31" s="749">
        <f t="shared" si="4"/>
        <v>0.5463510155508684</v>
      </c>
      <c r="R31" s="749">
        <f t="shared" si="5"/>
        <v>0.92081572048628468</v>
      </c>
      <c r="S31" s="571">
        <f t="shared" si="6"/>
        <v>2063.8265131659373</v>
      </c>
      <c r="T31" s="571">
        <f t="shared" si="7"/>
        <v>4886.7238429350582</v>
      </c>
      <c r="U31" s="571">
        <v>9773.4476858701164</v>
      </c>
      <c r="W31" s="335" t="s">
        <v>86</v>
      </c>
      <c r="X31" s="333"/>
      <c r="Y31" s="330"/>
      <c r="Z31" s="330"/>
      <c r="AA31" s="332">
        <v>926627.08287131344</v>
      </c>
      <c r="AB31" s="332">
        <v>4597.686189085508</v>
      </c>
      <c r="AC31" s="334">
        <v>55500</v>
      </c>
      <c r="AD31" s="332">
        <v>56003.236899618954</v>
      </c>
      <c r="AE31" s="332">
        <v>144.74597374139515</v>
      </c>
      <c r="AF31" s="332"/>
      <c r="AG31" s="333"/>
      <c r="AH31" s="332">
        <v>57.164746891756863</v>
      </c>
      <c r="AI31" s="332">
        <v>58.779187203862165</v>
      </c>
      <c r="AJ31" s="332">
        <v>176.51817698749298</v>
      </c>
      <c r="AK31" s="332">
        <v>173.87567023074334</v>
      </c>
      <c r="AL31" s="333">
        <v>4.536103066901874</v>
      </c>
      <c r="AM31" s="333">
        <v>6.363374322442632</v>
      </c>
      <c r="AN31" s="333">
        <v>5.956597232053964</v>
      </c>
      <c r="AO31" s="332">
        <v>20.960073784540732</v>
      </c>
      <c r="AP31" s="333">
        <v>2.0830573707390982</v>
      </c>
      <c r="AQ31" s="333">
        <v>1.1781567972580884</v>
      </c>
      <c r="AR31" s="330"/>
      <c r="AS31" s="333">
        <v>1.7736201037556709</v>
      </c>
      <c r="AT31" s="330"/>
      <c r="AU31" s="330"/>
      <c r="AV31" s="333">
        <v>2.9010407538951055</v>
      </c>
      <c r="AW31" s="333">
        <v>1.1292528366853734</v>
      </c>
      <c r="AX31" s="333">
        <v>9.2668201752200705</v>
      </c>
      <c r="AY31" s="332">
        <v>15.165400480388499</v>
      </c>
      <c r="AZ31" s="332">
        <v>30.019299585123779</v>
      </c>
      <c r="BA31" s="330" t="s">
        <v>600</v>
      </c>
      <c r="BB31" s="330"/>
      <c r="BC31" s="330"/>
      <c r="BD31" s="327"/>
      <c r="BE31" s="329">
        <v>44.130001068115298</v>
      </c>
      <c r="BF31" s="328">
        <v>0.98662806709325401</v>
      </c>
      <c r="BG31" s="327"/>
      <c r="BH31" s="326" t="s">
        <v>752</v>
      </c>
    </row>
    <row r="32" spans="1:60" ht="18" thickBot="1">
      <c r="A32" s="407" t="s">
        <v>270</v>
      </c>
      <c r="B32" s="407" t="s">
        <v>26</v>
      </c>
      <c r="C32" s="438">
        <f>AVERAGE(BA$16:BA$20)</f>
        <v>126.63688122684007</v>
      </c>
      <c r="D32" s="438">
        <f>STDEV(BA$16:BA$20)</f>
        <v>8.4983848987913042</v>
      </c>
      <c r="E32" s="438">
        <f>AVERAGE(BA$21:BA$25)</f>
        <v>0.4822740750530663</v>
      </c>
      <c r="F32" s="438">
        <f>STDEV(BA$21:BA$25)</f>
        <v>0.16981917888885983</v>
      </c>
      <c r="G32" s="438">
        <f>AVERAGE(BA$26:BA$30)</f>
        <v>102.43105650883972</v>
      </c>
      <c r="H32" s="438">
        <f>STDEV(BA$26:BA$30)</f>
        <v>25.055274602362001</v>
      </c>
      <c r="I32" s="673">
        <f t="shared" si="0"/>
        <v>1.2363133364333836</v>
      </c>
      <c r="J32" s="749">
        <f t="shared" si="1"/>
        <v>0.15693823391783865</v>
      </c>
      <c r="K32" s="749">
        <v>0.3138764678356773</v>
      </c>
      <c r="L32" s="407">
        <v>0.37</v>
      </c>
      <c r="M32" s="404">
        <v>-1.72</v>
      </c>
      <c r="N32" s="779">
        <v>0.43049999999999999</v>
      </c>
      <c r="O32" s="749">
        <f t="shared" si="2"/>
        <v>0.2440737489025461</v>
      </c>
      <c r="P32" s="732">
        <f t="shared" si="3"/>
        <v>4.1847110955510329</v>
      </c>
      <c r="Q32" s="749">
        <f t="shared" si="4"/>
        <v>0.29543576801461102</v>
      </c>
      <c r="R32" s="749">
        <f t="shared" si="5"/>
        <v>3.7502764309031329E-2</v>
      </c>
      <c r="S32" s="749">
        <f t="shared" si="6"/>
        <v>262.58280877508452</v>
      </c>
      <c r="T32" s="749">
        <f t="shared" si="7"/>
        <v>94.125309130558989</v>
      </c>
      <c r="U32" s="749">
        <v>188.25061826111798</v>
      </c>
      <c r="W32" s="325" t="s">
        <v>88</v>
      </c>
      <c r="X32" s="322"/>
      <c r="Y32" s="320"/>
      <c r="Z32" s="320"/>
      <c r="AA32" s="321">
        <v>964421.09592972358</v>
      </c>
      <c r="AB32" s="321">
        <v>4685.9595392357023</v>
      </c>
      <c r="AC32" s="324">
        <v>55500</v>
      </c>
      <c r="AD32" s="321">
        <v>54997.116951553944</v>
      </c>
      <c r="AE32" s="321">
        <v>147.88543437198919</v>
      </c>
      <c r="AF32" s="321"/>
      <c r="AG32" s="322"/>
      <c r="AH32" s="321">
        <v>59.885585678457332</v>
      </c>
      <c r="AI32" s="321">
        <v>58.274976267249983</v>
      </c>
      <c r="AJ32" s="321">
        <v>180.70401219997839</v>
      </c>
      <c r="AK32" s="321">
        <v>183.34332233678293</v>
      </c>
      <c r="AL32" s="322">
        <v>4.1421449775460113</v>
      </c>
      <c r="AM32" s="322">
        <v>6.5540103196842407</v>
      </c>
      <c r="AN32" s="322">
        <v>6.9569224511662719</v>
      </c>
      <c r="AO32" s="321">
        <v>19.403177241134433</v>
      </c>
      <c r="AP32" s="322">
        <v>2.1552478729581632</v>
      </c>
      <c r="AQ32" s="322">
        <v>1.7068194803545114</v>
      </c>
      <c r="AR32" s="320"/>
      <c r="AS32" s="322">
        <v>1.1146712474367071</v>
      </c>
      <c r="AT32" s="320"/>
      <c r="AU32" s="320"/>
      <c r="AV32" s="322">
        <v>2.8507307790949965</v>
      </c>
      <c r="AW32" s="322">
        <v>1.1716351002970087</v>
      </c>
      <c r="AX32" s="322">
        <v>9.7866320033723309</v>
      </c>
      <c r="AY32" s="321">
        <v>15.309575623071522</v>
      </c>
      <c r="AZ32" s="321">
        <v>30.729485795914595</v>
      </c>
      <c r="BA32" s="320" t="s">
        <v>189</v>
      </c>
      <c r="BB32" s="320"/>
      <c r="BC32" s="320"/>
      <c r="BD32" s="317"/>
      <c r="BE32" s="319">
        <v>44.809001922607393</v>
      </c>
      <c r="BF32" s="318">
        <v>0.99572655985197256</v>
      </c>
      <c r="BG32" s="317"/>
      <c r="BH32" s="316" t="s">
        <v>747</v>
      </c>
    </row>
    <row r="33" spans="1:60" ht="17">
      <c r="A33" s="435" t="s">
        <v>313</v>
      </c>
      <c r="B33" s="435" t="s">
        <v>27</v>
      </c>
      <c r="C33" s="405">
        <f>AVERAGE(BB$52:BB$56)</f>
        <v>0.26268001275603337</v>
      </c>
      <c r="D33" s="405">
        <f>STDEV(BB$52:BB$56)</f>
        <v>0.42202507993918259</v>
      </c>
      <c r="E33" s="434">
        <f>AVERAGE(BB$57:BB$61)</f>
        <v>0.13235645746012498</v>
      </c>
      <c r="F33" s="434">
        <f>STDEV(BB$57:BB$61)</f>
        <v>1.676878531455215E-2</v>
      </c>
      <c r="G33" s="434">
        <f>AVERAGE(BB$62:BB$66)</f>
        <v>694.37154664253455</v>
      </c>
      <c r="H33" s="434">
        <f>STDEV(BB$62:BB$66)</f>
        <v>269.68622768888457</v>
      </c>
      <c r="I33" s="784">
        <f t="shared" si="0"/>
        <v>3.7829892947969851E-4</v>
      </c>
      <c r="J33" s="786">
        <f t="shared" si="1"/>
        <v>6.6484478343326796E-4</v>
      </c>
      <c r="K33" s="785">
        <v>1.3296895668665359E-3</v>
      </c>
      <c r="L33" s="435">
        <v>2.5000000000000001E-2</v>
      </c>
      <c r="M33" s="433">
        <v>3</v>
      </c>
      <c r="N33" s="778">
        <v>0.43049999999999999</v>
      </c>
      <c r="O33" s="570">
        <f t="shared" si="2"/>
        <v>0.2440737489025461</v>
      </c>
      <c r="P33" s="800">
        <f t="shared" si="3"/>
        <v>3.6349900314155818E-4</v>
      </c>
      <c r="Q33" s="573">
        <f t="shared" si="4"/>
        <v>1.040715177236337</v>
      </c>
      <c r="R33" s="570">
        <f t="shared" si="5"/>
        <v>1.8290140486970088</v>
      </c>
      <c r="S33" s="571">
        <f t="shared" si="6"/>
        <v>1.9846407028170194</v>
      </c>
      <c r="T33" s="571">
        <f t="shared" si="7"/>
        <v>3.198447967557553</v>
      </c>
      <c r="U33" s="571">
        <v>6.396895935115106</v>
      </c>
      <c r="W33" s="315" t="s">
        <v>827</v>
      </c>
      <c r="X33" s="338"/>
      <c r="Y33" s="338"/>
      <c r="Z33" s="338"/>
      <c r="AA33" s="341" t="s">
        <v>826</v>
      </c>
      <c r="AB33" s="339">
        <v>437.1390542978404</v>
      </c>
      <c r="AC33" s="342">
        <v>459</v>
      </c>
      <c r="AD33" s="341" t="s">
        <v>825</v>
      </c>
      <c r="AE33" s="339">
        <v>401.12124595153153</v>
      </c>
      <c r="AF33" s="339"/>
      <c r="AG33" s="338"/>
      <c r="AH33" s="339">
        <v>418.39401535664359</v>
      </c>
      <c r="AI33" s="339">
        <v>385.05478145875742</v>
      </c>
      <c r="AJ33" s="339">
        <v>326.10285611695923</v>
      </c>
      <c r="AK33" s="339">
        <v>399.37535465143878</v>
      </c>
      <c r="AL33" s="339">
        <v>252.44252626783785</v>
      </c>
      <c r="AM33" s="339">
        <v>436.99970018715635</v>
      </c>
      <c r="AN33" s="339">
        <v>324.20785404595659</v>
      </c>
      <c r="AO33" s="339">
        <v>0</v>
      </c>
      <c r="AP33" s="338">
        <v>0.98267395138500646</v>
      </c>
      <c r="AQ33" s="340">
        <v>3.3680226705520444</v>
      </c>
      <c r="AR33" s="339"/>
      <c r="AS33" s="340">
        <v>5.2153830025128247</v>
      </c>
      <c r="AT33" s="338"/>
      <c r="AU33" s="338"/>
      <c r="AV33" s="339">
        <v>402.30210106305287</v>
      </c>
      <c r="AW33" s="339">
        <v>55.924067285673537</v>
      </c>
      <c r="AX33" s="338">
        <v>8.9388581422994128E-3</v>
      </c>
      <c r="AY33" s="338">
        <v>9.4024054715193553E-2</v>
      </c>
      <c r="AZ33" s="338">
        <v>3.2311398841842678</v>
      </c>
      <c r="BA33" s="339">
        <v>31.604653735687354</v>
      </c>
      <c r="BB33" s="338"/>
      <c r="BC33" s="338"/>
      <c r="BD33" s="336"/>
      <c r="BE33" s="313">
        <v>45.488002777099595</v>
      </c>
      <c r="BF33" s="337">
        <v>2.1550462285920799</v>
      </c>
      <c r="BG33" s="336"/>
      <c r="BH33" s="336" t="s">
        <v>746</v>
      </c>
    </row>
    <row r="34" spans="1:60" ht="18" thickBot="1">
      <c r="A34" s="435" t="s">
        <v>313</v>
      </c>
      <c r="B34" s="435" t="s">
        <v>28</v>
      </c>
      <c r="C34" s="405">
        <f>AVERAGE(BC$52:BC$56)</f>
        <v>0.25968160976658661</v>
      </c>
      <c r="D34" s="405">
        <f>STDEV(BC$52:BC$56)</f>
        <v>0.43295634334084337</v>
      </c>
      <c r="E34" s="434">
        <f>AVERAGE(BC$57:BC$61)</f>
        <v>0.21448119773672231</v>
      </c>
      <c r="F34" s="434">
        <f>STDEV(BC$57:BC$61)</f>
        <v>1.067103247377282E-2</v>
      </c>
      <c r="G34" s="434">
        <f>AVERAGE(BC$62:BC$66)</f>
        <v>545.33105055756914</v>
      </c>
      <c r="H34" s="434">
        <f>STDEV(BC$62:BC$66)</f>
        <v>252.6415227176895</v>
      </c>
      <c r="I34" s="784">
        <f t="shared" si="0"/>
        <v>4.7619076430927107E-4</v>
      </c>
      <c r="J34" s="786">
        <f t="shared" si="1"/>
        <v>8.9613753832304649E-4</v>
      </c>
      <c r="K34" s="785">
        <v>1.792275076646093E-3</v>
      </c>
      <c r="L34" s="435">
        <v>1.2E-2</v>
      </c>
      <c r="M34" s="433">
        <v>7.5</v>
      </c>
      <c r="N34" s="778">
        <v>0.43049999999999999</v>
      </c>
      <c r="O34" s="570">
        <f t="shared" si="2"/>
        <v>0.2440737489025461</v>
      </c>
      <c r="P34" s="801">
        <f t="shared" si="3"/>
        <v>3.0590690834659108E-7</v>
      </c>
      <c r="Q34" s="573">
        <f t="shared" si="4"/>
        <v>1556.652534861191</v>
      </c>
      <c r="R34" s="570">
        <f t="shared" si="5"/>
        <v>2929.4452458318688</v>
      </c>
      <c r="S34" s="571">
        <f t="shared" si="6"/>
        <v>1.2107430045469452</v>
      </c>
      <c r="T34" s="571">
        <f t="shared" si="7"/>
        <v>2.0195200160522466</v>
      </c>
      <c r="U34" s="571">
        <v>4.0390400321044932</v>
      </c>
      <c r="W34" s="315" t="s">
        <v>824</v>
      </c>
      <c r="X34" s="338"/>
      <c r="Y34" s="338"/>
      <c r="Z34" s="338"/>
      <c r="AA34" s="341" t="s">
        <v>823</v>
      </c>
      <c r="AB34" s="339">
        <v>431.79622815590432</v>
      </c>
      <c r="AC34" s="419">
        <v>459</v>
      </c>
      <c r="AD34" s="341" t="s">
        <v>822</v>
      </c>
      <c r="AE34" s="339">
        <v>388.89478749163021</v>
      </c>
      <c r="AF34" s="339"/>
      <c r="AG34" s="338"/>
      <c r="AH34" s="339">
        <v>403.05135537495659</v>
      </c>
      <c r="AI34" s="339">
        <v>379.77440049963866</v>
      </c>
      <c r="AJ34" s="339">
        <v>325.42503615158188</v>
      </c>
      <c r="AK34" s="339">
        <v>396.69110413969753</v>
      </c>
      <c r="AL34" s="339">
        <v>248.8673863261499</v>
      </c>
      <c r="AM34" s="339">
        <v>429.58452356254412</v>
      </c>
      <c r="AN34" s="339">
        <v>311.483643133697</v>
      </c>
      <c r="AO34" s="338">
        <v>1.3743705760452066E-2</v>
      </c>
      <c r="AP34" s="340">
        <v>1.0089894206074987</v>
      </c>
      <c r="AQ34" s="340">
        <v>3.3544537125026128</v>
      </c>
      <c r="AR34" s="339"/>
      <c r="AS34" s="340">
        <v>4.6625005853436203</v>
      </c>
      <c r="AT34" s="338"/>
      <c r="AU34" s="338"/>
      <c r="AV34" s="339">
        <v>397.8500075474131</v>
      </c>
      <c r="AW34" s="339">
        <v>54.752612895411289</v>
      </c>
      <c r="AX34" s="338">
        <v>4.7912655033554782E-2</v>
      </c>
      <c r="AY34" s="338">
        <v>7.2684904784583629E-2</v>
      </c>
      <c r="AZ34" s="338">
        <v>3.4516629226042808</v>
      </c>
      <c r="BA34" s="339">
        <v>33.36874332177895</v>
      </c>
      <c r="BB34" s="338"/>
      <c r="BC34" s="338"/>
      <c r="BD34" s="336"/>
      <c r="BE34" s="313">
        <v>45.488000869750998</v>
      </c>
      <c r="BF34" s="337">
        <v>2.2331150253794223</v>
      </c>
      <c r="BG34" s="336"/>
      <c r="BH34" s="336" t="s">
        <v>745</v>
      </c>
    </row>
    <row r="35" spans="1:60" ht="17">
      <c r="C35" s="382"/>
      <c r="E35" s="382"/>
      <c r="G35" s="382"/>
      <c r="V35" s="309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</row>
    <row r="36" spans="1:60" ht="17">
      <c r="W36" s="309" t="s">
        <v>95</v>
      </c>
      <c r="X36" s="311">
        <v>450</v>
      </c>
      <c r="Y36" s="311">
        <v>408</v>
      </c>
      <c r="Z36" s="311">
        <v>444</v>
      </c>
      <c r="AA36" s="311">
        <v>458</v>
      </c>
      <c r="AB36" s="311">
        <v>410</v>
      </c>
      <c r="AC36" s="311">
        <v>458.7</v>
      </c>
      <c r="AD36" s="311">
        <v>458.7</v>
      </c>
      <c r="AE36" s="311">
        <v>441</v>
      </c>
      <c r="AF36" s="311">
        <v>460</v>
      </c>
      <c r="AG36" s="311">
        <v>460</v>
      </c>
      <c r="AH36" s="311">
        <v>433</v>
      </c>
      <c r="AI36" s="311">
        <v>433</v>
      </c>
      <c r="AJ36" s="311">
        <v>447</v>
      </c>
      <c r="AK36" s="311">
        <v>447</v>
      </c>
      <c r="AL36" s="311">
        <v>325</v>
      </c>
      <c r="AM36" s="311">
        <v>417</v>
      </c>
      <c r="AN36" s="311">
        <v>417</v>
      </c>
      <c r="AO36" s="308" t="s">
        <v>94</v>
      </c>
      <c r="AP36" s="308">
        <v>1.29</v>
      </c>
      <c r="AQ36" s="308">
        <v>1.05</v>
      </c>
      <c r="AR36" s="311">
        <v>251</v>
      </c>
      <c r="AS36" s="311" t="s">
        <v>94</v>
      </c>
      <c r="AT36" s="311">
        <v>430</v>
      </c>
      <c r="AU36" s="311">
        <v>396</v>
      </c>
      <c r="AV36" s="311">
        <v>444</v>
      </c>
      <c r="AW36" s="311">
        <v>49</v>
      </c>
      <c r="AX36" s="308" t="s">
        <v>94</v>
      </c>
      <c r="AY36" s="308" t="s">
        <v>94</v>
      </c>
      <c r="AZ36" s="308">
        <v>3.15</v>
      </c>
      <c r="BA36" s="308">
        <v>22.1</v>
      </c>
      <c r="BB36" s="311">
        <v>426</v>
      </c>
      <c r="BC36" s="311">
        <v>357.7</v>
      </c>
      <c r="BD36" s="307"/>
      <c r="BE36" s="307"/>
      <c r="BF36" s="307"/>
      <c r="BG36" s="307"/>
      <c r="BH36" s="307"/>
    </row>
    <row r="39" spans="1:60" ht="18" thickBot="1">
      <c r="A39" s="761" t="s">
        <v>821</v>
      </c>
      <c r="B39" s="762" t="s">
        <v>820</v>
      </c>
      <c r="C39" s="762" t="s">
        <v>819</v>
      </c>
      <c r="D39" s="762"/>
      <c r="E39" s="762"/>
      <c r="F39" s="762"/>
      <c r="G39" s="762"/>
      <c r="W39" s="483"/>
      <c r="X39" s="381" t="s">
        <v>0</v>
      </c>
      <c r="Y39" s="307"/>
      <c r="Z39" s="307"/>
      <c r="AA39" s="373"/>
      <c r="AB39" s="373"/>
      <c r="AC39" s="307"/>
      <c r="AD39" s="569" t="s">
        <v>313</v>
      </c>
      <c r="AE39" s="307"/>
      <c r="AF39" s="307"/>
      <c r="AG39" s="307"/>
      <c r="AH39" s="307"/>
      <c r="AI39" s="307"/>
      <c r="AJ39" s="373"/>
      <c r="AK39" s="373"/>
      <c r="AL39" s="373"/>
      <c r="AM39" s="373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</row>
    <row r="40" spans="1:60" ht="35" thickBot="1">
      <c r="A40" s="763"/>
      <c r="B40" s="746" t="s">
        <v>390</v>
      </c>
      <c r="C40" s="757" t="s">
        <v>1346</v>
      </c>
      <c r="D40" s="746" t="s">
        <v>389</v>
      </c>
      <c r="E40" s="757" t="s">
        <v>1347</v>
      </c>
      <c r="F40" s="746" t="s">
        <v>388</v>
      </c>
      <c r="G40" s="758" t="s">
        <v>1348</v>
      </c>
      <c r="K40" s="768" t="s">
        <v>818</v>
      </c>
      <c r="L40" s="759" t="s">
        <v>817</v>
      </c>
      <c r="M40" s="759" t="s">
        <v>572</v>
      </c>
      <c r="N40" s="760" t="s">
        <v>816</v>
      </c>
      <c r="W40" s="380"/>
      <c r="X40" s="307" t="s">
        <v>812</v>
      </c>
      <c r="Y40" s="307"/>
      <c r="Z40" s="307"/>
      <c r="AA40" s="307"/>
      <c r="AB40" s="373"/>
      <c r="AC40" s="307"/>
      <c r="AD40" s="307"/>
      <c r="AE40" s="307"/>
      <c r="AF40" s="307"/>
      <c r="AG40" s="379"/>
      <c r="AH40" s="378">
        <v>43783.484166666669</v>
      </c>
      <c r="AI40" s="307"/>
      <c r="AJ40" s="379"/>
      <c r="AK40" s="378"/>
      <c r="AL40" s="373"/>
      <c r="AM40" s="373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</row>
    <row r="41" spans="1:60" ht="18" thickBot="1">
      <c r="A41" s="764" t="s">
        <v>6</v>
      </c>
      <c r="B41" s="725">
        <v>47.341250000000002</v>
      </c>
      <c r="C41" s="755">
        <v>4.2667240105321174</v>
      </c>
      <c r="D41" s="725">
        <v>60.48683333333333</v>
      </c>
      <c r="E41" s="755">
        <v>0.71962298630897159</v>
      </c>
      <c r="F41" s="725">
        <v>53.351133333333337</v>
      </c>
      <c r="G41" s="765">
        <v>0.57280660743728373</v>
      </c>
      <c r="K41" s="766"/>
      <c r="L41" s="769" t="s">
        <v>815</v>
      </c>
      <c r="M41" s="769" t="s">
        <v>814</v>
      </c>
      <c r="N41" s="770" t="s">
        <v>813</v>
      </c>
      <c r="W41" s="309" t="s">
        <v>2</v>
      </c>
      <c r="X41" s="375" t="s">
        <v>3</v>
      </c>
      <c r="Y41" s="375" t="s">
        <v>4</v>
      </c>
      <c r="Z41" s="375" t="s">
        <v>5</v>
      </c>
      <c r="AA41" s="375" t="s">
        <v>6</v>
      </c>
      <c r="AB41" s="375" t="s">
        <v>7</v>
      </c>
      <c r="AC41" s="377" t="s">
        <v>8</v>
      </c>
      <c r="AD41" s="375" t="s">
        <v>8</v>
      </c>
      <c r="AE41" s="375" t="s">
        <v>9</v>
      </c>
      <c r="AF41" s="375" t="s">
        <v>10</v>
      </c>
      <c r="AG41" s="375" t="s">
        <v>10</v>
      </c>
      <c r="AH41" s="375" t="s">
        <v>11</v>
      </c>
      <c r="AI41" s="375" t="s">
        <v>11</v>
      </c>
      <c r="AJ41" s="375" t="s">
        <v>12</v>
      </c>
      <c r="AK41" s="375" t="s">
        <v>12</v>
      </c>
      <c r="AL41" s="375" t="s">
        <v>13</v>
      </c>
      <c r="AM41" s="375" t="s">
        <v>14</v>
      </c>
      <c r="AN41" s="375" t="s">
        <v>14</v>
      </c>
      <c r="AO41" s="375" t="s">
        <v>15</v>
      </c>
      <c r="AP41" s="375" t="s">
        <v>16</v>
      </c>
      <c r="AQ41" s="375" t="s">
        <v>17</v>
      </c>
      <c r="AR41" s="375" t="s">
        <v>18</v>
      </c>
      <c r="AS41" s="375" t="s">
        <v>17</v>
      </c>
      <c r="AT41" s="375" t="s">
        <v>19</v>
      </c>
      <c r="AU41" s="375" t="s">
        <v>20</v>
      </c>
      <c r="AV41" s="375" t="s">
        <v>21</v>
      </c>
      <c r="AW41" s="375" t="s">
        <v>22</v>
      </c>
      <c r="AX41" s="375" t="s">
        <v>23</v>
      </c>
      <c r="AY41" s="375" t="s">
        <v>24</v>
      </c>
      <c r="AZ41" s="375" t="s">
        <v>25</v>
      </c>
      <c r="BA41" s="375" t="s">
        <v>26</v>
      </c>
      <c r="BB41" s="375" t="s">
        <v>27</v>
      </c>
      <c r="BC41" s="375" t="s">
        <v>28</v>
      </c>
      <c r="BD41" s="307"/>
      <c r="BE41" s="375" t="s">
        <v>29</v>
      </c>
      <c r="BF41" s="375" t="s">
        <v>30</v>
      </c>
      <c r="BG41" s="375"/>
      <c r="BH41" s="375" t="s">
        <v>31</v>
      </c>
    </row>
    <row r="42" spans="1:60" ht="17">
      <c r="A42" s="764" t="s">
        <v>8</v>
      </c>
      <c r="B42" s="725">
        <v>21.799125</v>
      </c>
      <c r="C42" s="755">
        <v>4.710667524081483</v>
      </c>
      <c r="D42" s="725">
        <v>1.8525</v>
      </c>
      <c r="E42" s="755">
        <v>7.0359466637081244E-2</v>
      </c>
      <c r="F42" s="725">
        <v>45.908866666666668</v>
      </c>
      <c r="G42" s="765">
        <v>0.82207610585001456</v>
      </c>
      <c r="W42" s="309" t="s">
        <v>32</v>
      </c>
      <c r="X42" s="307">
        <v>51</v>
      </c>
      <c r="Y42" s="307">
        <v>53</v>
      </c>
      <c r="Z42" s="307">
        <v>55</v>
      </c>
      <c r="AA42" s="307">
        <v>57</v>
      </c>
      <c r="AB42" s="307">
        <v>59</v>
      </c>
      <c r="AC42" s="370">
        <v>61</v>
      </c>
      <c r="AD42" s="307">
        <v>62</v>
      </c>
      <c r="AE42" s="307">
        <v>63</v>
      </c>
      <c r="AF42" s="307">
        <v>66</v>
      </c>
      <c r="AG42" s="307">
        <v>67</v>
      </c>
      <c r="AH42" s="307">
        <v>69</v>
      </c>
      <c r="AI42" s="307">
        <v>71</v>
      </c>
      <c r="AJ42" s="307">
        <v>72</v>
      </c>
      <c r="AK42" s="307">
        <v>73</v>
      </c>
      <c r="AL42" s="307">
        <v>75</v>
      </c>
      <c r="AM42" s="307">
        <v>95</v>
      </c>
      <c r="AN42" s="307">
        <v>97</v>
      </c>
      <c r="AO42" s="307">
        <v>101</v>
      </c>
      <c r="AP42" s="307">
        <v>103</v>
      </c>
      <c r="AQ42" s="307">
        <v>105</v>
      </c>
      <c r="AR42" s="307">
        <v>107</v>
      </c>
      <c r="AS42" s="307">
        <v>108</v>
      </c>
      <c r="AT42" s="307">
        <v>118</v>
      </c>
      <c r="AU42" s="307">
        <v>121</v>
      </c>
      <c r="AV42" s="307">
        <v>184</v>
      </c>
      <c r="AW42" s="307">
        <v>185</v>
      </c>
      <c r="AX42" s="307">
        <v>189</v>
      </c>
      <c r="AY42" s="307">
        <v>193</v>
      </c>
      <c r="AZ42" s="307">
        <v>195</v>
      </c>
      <c r="BA42" s="307">
        <v>197</v>
      </c>
      <c r="BB42" s="307">
        <v>208</v>
      </c>
      <c r="BC42" s="307">
        <v>209</v>
      </c>
      <c r="BD42" s="307"/>
      <c r="BE42" s="375" t="s">
        <v>33</v>
      </c>
      <c r="BF42" s="375" t="s">
        <v>34</v>
      </c>
      <c r="BG42" s="307"/>
      <c r="BH42" s="307"/>
    </row>
    <row r="43" spans="1:60" ht="18" thickBot="1">
      <c r="A43" s="766" t="s">
        <v>380</v>
      </c>
      <c r="B43" s="726">
        <v>29.541775000000001</v>
      </c>
      <c r="C43" s="756">
        <v>1.5937663581865376</v>
      </c>
      <c r="D43" s="726">
        <v>36.373916666666673</v>
      </c>
      <c r="E43" s="756">
        <v>0.52624440542624662</v>
      </c>
      <c r="F43" s="726">
        <v>0.41766666666666674</v>
      </c>
      <c r="G43" s="767">
        <v>1.0105554813825812</v>
      </c>
      <c r="W43" s="309"/>
      <c r="X43" s="375" t="s">
        <v>35</v>
      </c>
      <c r="Y43" s="375" t="s">
        <v>35</v>
      </c>
      <c r="Z43" s="375" t="s">
        <v>35</v>
      </c>
      <c r="AA43" s="375" t="s">
        <v>35</v>
      </c>
      <c r="AB43" s="375" t="s">
        <v>35</v>
      </c>
      <c r="AC43" s="376" t="s">
        <v>35</v>
      </c>
      <c r="AD43" s="375" t="s">
        <v>35</v>
      </c>
      <c r="AE43" s="375" t="s">
        <v>35</v>
      </c>
      <c r="AF43" s="375" t="s">
        <v>35</v>
      </c>
      <c r="AG43" s="375" t="s">
        <v>35</v>
      </c>
      <c r="AH43" s="375" t="s">
        <v>35</v>
      </c>
      <c r="AI43" s="375" t="s">
        <v>35</v>
      </c>
      <c r="AJ43" s="375" t="s">
        <v>35</v>
      </c>
      <c r="AK43" s="375" t="s">
        <v>35</v>
      </c>
      <c r="AL43" s="375" t="s">
        <v>35</v>
      </c>
      <c r="AM43" s="375" t="s">
        <v>35</v>
      </c>
      <c r="AN43" s="375" t="s">
        <v>35</v>
      </c>
      <c r="AO43" s="375" t="s">
        <v>35</v>
      </c>
      <c r="AP43" s="375" t="s">
        <v>35</v>
      </c>
      <c r="AQ43" s="375" t="s">
        <v>35</v>
      </c>
      <c r="AR43" s="375" t="s">
        <v>35</v>
      </c>
      <c r="AS43" s="375" t="s">
        <v>35</v>
      </c>
      <c r="AT43" s="375" t="s">
        <v>35</v>
      </c>
      <c r="AU43" s="375" t="s">
        <v>35</v>
      </c>
      <c r="AV43" s="375" t="s">
        <v>35</v>
      </c>
      <c r="AW43" s="375" t="s">
        <v>35</v>
      </c>
      <c r="AX43" s="375" t="s">
        <v>35</v>
      </c>
      <c r="AY43" s="375" t="s">
        <v>35</v>
      </c>
      <c r="AZ43" s="375" t="s">
        <v>35</v>
      </c>
      <c r="BA43" s="375" t="s">
        <v>35</v>
      </c>
      <c r="BB43" s="375" t="s">
        <v>35</v>
      </c>
      <c r="BC43" s="375" t="s">
        <v>35</v>
      </c>
      <c r="BD43" s="307"/>
      <c r="BE43" s="307"/>
      <c r="BF43" s="307"/>
      <c r="BG43" s="307"/>
      <c r="BH43" s="307"/>
    </row>
    <row r="44" spans="1:60" ht="17">
      <c r="A44" s="762" t="s">
        <v>379</v>
      </c>
      <c r="B44" s="725">
        <f>SUM(B41:B43)</f>
        <v>98.682150000000007</v>
      </c>
      <c r="C44" s="762"/>
      <c r="D44" s="725">
        <f>SUM(D41:D43)</f>
        <v>98.713250000000002</v>
      </c>
      <c r="E44" s="762"/>
      <c r="F44" s="725">
        <f>SUM(F41:F43)</f>
        <v>99.677666666666667</v>
      </c>
      <c r="G44" s="762"/>
      <c r="W44" s="309"/>
      <c r="X44" s="373"/>
      <c r="Y44" s="373"/>
      <c r="Z44" s="373"/>
      <c r="AA44" s="373"/>
      <c r="AB44" s="373"/>
      <c r="AC44" s="374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</row>
    <row r="45" spans="1:60" ht="17">
      <c r="W45" s="309" t="s">
        <v>36</v>
      </c>
      <c r="X45" s="308">
        <v>54.3</v>
      </c>
      <c r="Y45" s="311">
        <v>2646</v>
      </c>
      <c r="Z45" s="311">
        <v>1933</v>
      </c>
      <c r="AA45" s="311">
        <v>184300</v>
      </c>
      <c r="AB45" s="311">
        <v>506</v>
      </c>
      <c r="AC45" s="372">
        <v>10770</v>
      </c>
      <c r="AD45" s="311">
        <v>10770</v>
      </c>
      <c r="AE45" s="311">
        <v>131</v>
      </c>
      <c r="AF45" s="311">
        <v>323</v>
      </c>
      <c r="AG45" s="311">
        <v>323</v>
      </c>
      <c r="AH45" s="310">
        <v>9.7100000000000009</v>
      </c>
      <c r="AI45" s="310">
        <v>9.7100000000000009</v>
      </c>
      <c r="AJ45" s="308">
        <v>32.6</v>
      </c>
      <c r="AK45" s="308">
        <v>32.6</v>
      </c>
      <c r="AL45" s="310">
        <v>1.81</v>
      </c>
      <c r="AM45" s="310">
        <v>0.92800000000000005</v>
      </c>
      <c r="AN45" s="310">
        <v>0.92800000000000005</v>
      </c>
      <c r="AO45" s="310">
        <v>0.68300000000000005</v>
      </c>
      <c r="AP45" s="310">
        <v>0.14000000000000001</v>
      </c>
      <c r="AQ45" s="310">
        <v>0.55600000000000005</v>
      </c>
      <c r="AR45" s="310">
        <v>0.19700000000000001</v>
      </c>
      <c r="AS45" s="310">
        <v>0.55600000000000005</v>
      </c>
      <c r="AT45" s="310">
        <v>1.68</v>
      </c>
      <c r="AU45" s="310">
        <v>0.13300000000000001</v>
      </c>
      <c r="AV45" s="310">
        <v>9.0300000000000005E-2</v>
      </c>
      <c r="AW45" s="310">
        <v>3.95E-2</v>
      </c>
      <c r="AX45" s="310">
        <v>0.50600000000000001</v>
      </c>
      <c r="AY45" s="310">
        <v>0.48</v>
      </c>
      <c r="AZ45" s="310">
        <v>0.98199999999999998</v>
      </c>
      <c r="BA45" s="310">
        <v>0.14799999999999999</v>
      </c>
      <c r="BB45" s="310">
        <v>2.5299999999999998</v>
      </c>
      <c r="BC45" s="310">
        <v>0.111</v>
      </c>
      <c r="BD45" s="307"/>
      <c r="BE45" s="307"/>
      <c r="BF45" s="307"/>
      <c r="BG45" s="307"/>
      <c r="BH45" s="307"/>
    </row>
    <row r="46" spans="1:60" ht="17">
      <c r="W46" s="309" t="s">
        <v>37</v>
      </c>
      <c r="X46" s="310">
        <v>1.9365904108351067E-2</v>
      </c>
      <c r="Y46" s="310">
        <v>0.31914588319074771</v>
      </c>
      <c r="Z46" s="310">
        <v>0.19562612564968479</v>
      </c>
      <c r="AA46" s="310">
        <v>39.910664908797301</v>
      </c>
      <c r="AB46" s="310">
        <v>0.20741233275945931</v>
      </c>
      <c r="AC46" s="371">
        <v>3.4952571602751217</v>
      </c>
      <c r="AD46" s="310">
        <v>9.3569045594536302</v>
      </c>
      <c r="AE46" s="310">
        <v>5.3289635903158744E-2</v>
      </c>
      <c r="AF46" s="792">
        <v>0.19084887459988906</v>
      </c>
      <c r="AG46" s="310">
        <v>0.50629081104320961</v>
      </c>
      <c r="AH46" s="792">
        <v>9.783412702004269E-3</v>
      </c>
      <c r="AI46" s="310">
        <v>2.0007944102250839E-2</v>
      </c>
      <c r="AJ46" s="792">
        <v>0.3942686186383122</v>
      </c>
      <c r="AK46" s="310">
        <v>0.60692409310302686</v>
      </c>
      <c r="AL46" s="310">
        <v>0.10265784513642071</v>
      </c>
      <c r="AM46" s="792">
        <v>0.10962224544986311</v>
      </c>
      <c r="AN46" s="310">
        <v>0.16113785805756348</v>
      </c>
      <c r="AO46" s="310" t="e">
        <v>#VALUE!</v>
      </c>
      <c r="AP46" s="310">
        <v>5.2560981949736699E-3</v>
      </c>
      <c r="AQ46" s="310">
        <v>1.8528017329539285E-3</v>
      </c>
      <c r="AR46" s="310">
        <v>1.5563227202193265E-2</v>
      </c>
      <c r="AS46" s="794">
        <v>1.2599759926160846E-3</v>
      </c>
      <c r="AT46" s="310">
        <v>6.4479228772311631E-2</v>
      </c>
      <c r="AU46" s="310">
        <v>2.5591876342868896E-2</v>
      </c>
      <c r="AV46" s="310">
        <v>7.6422771244727518E-3</v>
      </c>
      <c r="AW46" s="310">
        <v>1.0203975863232251E-3</v>
      </c>
      <c r="AX46" s="310"/>
      <c r="AY46" s="310"/>
      <c r="AZ46" s="310">
        <v>3.3787092316537571E-3</v>
      </c>
      <c r="BA46" s="310">
        <v>3.4512130520830943E-2</v>
      </c>
      <c r="BB46" s="310">
        <v>8.1217163923806898E-3</v>
      </c>
      <c r="BC46" s="310">
        <v>5.687461902724001E-3</v>
      </c>
      <c r="BD46" s="307"/>
      <c r="BE46" s="307"/>
      <c r="BF46" s="307"/>
      <c r="BG46" s="307"/>
      <c r="BH46" s="307"/>
    </row>
    <row r="47" spans="1:60" ht="18" thickBot="1">
      <c r="A47" s="776" t="s">
        <v>483</v>
      </c>
      <c r="B47" s="306">
        <f>(B43/32.06)/((B43/32.06)+(B42/58.69)+(B41/55.847))</f>
        <v>0.43046942924739212</v>
      </c>
      <c r="W47" s="309"/>
      <c r="X47" s="307"/>
      <c r="Y47" s="307"/>
      <c r="Z47" s="307"/>
      <c r="AA47" s="307"/>
      <c r="AB47" s="307"/>
      <c r="AC47" s="370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</row>
    <row r="48" spans="1:60" ht="17">
      <c r="W48" s="432" t="s">
        <v>100</v>
      </c>
      <c r="X48" s="427">
        <v>439.77836234886701</v>
      </c>
      <c r="Y48" s="427">
        <v>398.10052634900637</v>
      </c>
      <c r="Z48" s="427">
        <v>432.0088069949457</v>
      </c>
      <c r="AA48" s="425"/>
      <c r="AB48" s="427">
        <v>403.02620850466326</v>
      </c>
      <c r="AC48" s="431">
        <v>459</v>
      </c>
      <c r="AD48" s="430"/>
      <c r="AE48" s="427">
        <v>435.52590025208241</v>
      </c>
      <c r="AF48" s="427">
        <v>437.597269602268</v>
      </c>
      <c r="AG48" s="427">
        <v>432.32355194530061</v>
      </c>
      <c r="AH48" s="427">
        <v>421.16552032282067</v>
      </c>
      <c r="AI48" s="427">
        <v>426.78835024867419</v>
      </c>
      <c r="AJ48" s="427">
        <v>437.01782656051597</v>
      </c>
      <c r="AK48" s="427">
        <v>437.01111521903874</v>
      </c>
      <c r="AL48" s="427">
        <v>308.56379855260593</v>
      </c>
      <c r="AM48" s="427">
        <v>408.75973272702083</v>
      </c>
      <c r="AN48" s="427">
        <v>410.68356388814584</v>
      </c>
      <c r="AO48" s="425"/>
      <c r="AP48" s="428">
        <v>1.2469803081303621</v>
      </c>
      <c r="AQ48" s="428">
        <v>1.0274801646224792</v>
      </c>
      <c r="AR48" s="427">
        <v>243.71133336209763</v>
      </c>
      <c r="AS48" s="425">
        <v>0.99603677695782999</v>
      </c>
      <c r="AT48" s="427">
        <v>415.31910815503471</v>
      </c>
      <c r="AU48" s="427">
        <v>375.54082236181017</v>
      </c>
      <c r="AV48" s="427">
        <v>428.85936644378222</v>
      </c>
      <c r="AW48" s="427">
        <v>47.289400324801832</v>
      </c>
      <c r="AX48" s="425"/>
      <c r="AY48" s="425"/>
      <c r="AZ48" s="428">
        <v>3.0596790928629773</v>
      </c>
      <c r="BA48" s="427">
        <v>19.686725505842649</v>
      </c>
      <c r="BB48" s="427">
        <v>409.7286719692284</v>
      </c>
      <c r="BC48" s="427">
        <v>344.01200721130351</v>
      </c>
      <c r="BD48" s="422"/>
      <c r="BE48" s="424">
        <v>44.130001068115298</v>
      </c>
      <c r="BF48" s="423">
        <v>1.1590057549632564</v>
      </c>
      <c r="BG48" s="422"/>
      <c r="BH48" s="421" t="s">
        <v>811</v>
      </c>
    </row>
    <row r="49" spans="23:60" ht="18" thickBot="1">
      <c r="W49" s="420" t="s">
        <v>101</v>
      </c>
      <c r="X49" s="414">
        <v>460.80949819190351</v>
      </c>
      <c r="Y49" s="414">
        <v>418.45058438008192</v>
      </c>
      <c r="Z49" s="414">
        <v>456.61005674980345</v>
      </c>
      <c r="AA49" s="413"/>
      <c r="AB49" s="414">
        <v>417.48980560700255</v>
      </c>
      <c r="AC49" s="419">
        <v>459</v>
      </c>
      <c r="AD49" s="418"/>
      <c r="AE49" s="414">
        <v>447.03515808010644</v>
      </c>
      <c r="AF49" s="414">
        <v>482.71870175307652</v>
      </c>
      <c r="AG49" s="414">
        <v>487.96880608292025</v>
      </c>
      <c r="AH49" s="414">
        <v>445.37670550823321</v>
      </c>
      <c r="AI49" s="414">
        <v>439.7707226354284</v>
      </c>
      <c r="AJ49" s="414">
        <v>457.5332740682278</v>
      </c>
      <c r="AK49" s="414">
        <v>457.54661725755545</v>
      </c>
      <c r="AL49" s="414">
        <v>341.67666135923537</v>
      </c>
      <c r="AM49" s="414">
        <v>425.78562789053274</v>
      </c>
      <c r="AN49" s="414">
        <v>423.86945334818847</v>
      </c>
      <c r="AO49" s="413"/>
      <c r="AP49" s="415">
        <v>1.3347893493215188</v>
      </c>
      <c r="AQ49" s="415">
        <v>1.0745546636841781</v>
      </c>
      <c r="AR49" s="414">
        <v>258.61280539293489</v>
      </c>
      <c r="AS49" s="413">
        <v>1.1053948475179143</v>
      </c>
      <c r="AT49" s="414">
        <v>445.16820101433115</v>
      </c>
      <c r="AU49" s="414">
        <v>416.70038577816388</v>
      </c>
      <c r="AV49" s="414">
        <v>459.5973132232993</v>
      </c>
      <c r="AW49" s="414">
        <v>50.759677633038301</v>
      </c>
      <c r="AX49" s="413"/>
      <c r="AY49" s="413"/>
      <c r="AZ49" s="415">
        <v>3.2437888519568423</v>
      </c>
      <c r="BA49" s="414">
        <v>24.489126015192635</v>
      </c>
      <c r="BB49" s="414">
        <v>442.63832186366812</v>
      </c>
      <c r="BC49" s="414">
        <v>371.68474200587622</v>
      </c>
      <c r="BD49" s="410"/>
      <c r="BE49" s="412">
        <v>42.093000411987298</v>
      </c>
      <c r="BF49" s="411">
        <v>1.1789540825853484</v>
      </c>
      <c r="BG49" s="410"/>
      <c r="BH49" s="409" t="s">
        <v>810</v>
      </c>
    </row>
    <row r="50" spans="23:60" ht="17">
      <c r="W50" s="396" t="s">
        <v>809</v>
      </c>
      <c r="X50" s="490" t="s">
        <v>183</v>
      </c>
      <c r="Y50" s="401">
        <v>77.24781824722497</v>
      </c>
      <c r="Z50" s="490" t="s">
        <v>808</v>
      </c>
      <c r="AA50" s="400"/>
      <c r="AB50" s="401">
        <v>4572.6243224145837</v>
      </c>
      <c r="AC50" s="408">
        <v>55500</v>
      </c>
      <c r="AD50" s="401"/>
      <c r="AE50" s="401">
        <v>158.95337063432942</v>
      </c>
      <c r="AF50" s="490" t="s">
        <v>807</v>
      </c>
      <c r="AG50" s="490" t="s">
        <v>806</v>
      </c>
      <c r="AH50" s="401">
        <v>61.009834942080239</v>
      </c>
      <c r="AI50" s="401">
        <v>69.100982158655782</v>
      </c>
      <c r="AJ50" s="401">
        <v>266.3701193480328</v>
      </c>
      <c r="AK50" s="401">
        <v>201.18238150525337</v>
      </c>
      <c r="AL50" s="402">
        <v>6.4881384496502115</v>
      </c>
      <c r="AM50" s="402">
        <v>7.0919889191166821</v>
      </c>
      <c r="AN50" s="402">
        <v>7.4463686819741</v>
      </c>
      <c r="AO50" s="401"/>
      <c r="AP50" s="402">
        <v>2.794576116251454</v>
      </c>
      <c r="AQ50" s="400">
        <v>0.22018311243583397</v>
      </c>
      <c r="AR50" s="403" t="s">
        <v>280</v>
      </c>
      <c r="AS50" s="400">
        <v>0.26673338775276995</v>
      </c>
      <c r="AT50" s="403" t="s">
        <v>470</v>
      </c>
      <c r="AU50" s="403" t="s">
        <v>442</v>
      </c>
      <c r="AV50" s="402">
        <v>3.582619022831866</v>
      </c>
      <c r="AW50" s="402">
        <v>1.142741419894997</v>
      </c>
      <c r="AX50" s="400"/>
      <c r="AY50" s="400"/>
      <c r="AZ50" s="401">
        <v>33.430653924737804</v>
      </c>
      <c r="BA50" s="403" t="s">
        <v>103</v>
      </c>
      <c r="BB50" s="403" t="s">
        <v>632</v>
      </c>
      <c r="BC50" s="403" t="s">
        <v>137</v>
      </c>
      <c r="BD50" s="398"/>
      <c r="BE50" s="394">
        <v>43.451000213623097</v>
      </c>
      <c r="BF50" s="399">
        <v>0.37512552519671455</v>
      </c>
      <c r="BG50" s="398"/>
      <c r="BH50" s="398" t="s">
        <v>805</v>
      </c>
    </row>
    <row r="51" spans="23:60" ht="17">
      <c r="W51" s="396" t="s">
        <v>804</v>
      </c>
      <c r="X51" s="490" t="s">
        <v>72</v>
      </c>
      <c r="Y51" s="401">
        <v>233.53398291065315</v>
      </c>
      <c r="Z51" s="403" t="s">
        <v>803</v>
      </c>
      <c r="AA51" s="400"/>
      <c r="AB51" s="401">
        <v>4616.1833945186218</v>
      </c>
      <c r="AC51" s="408">
        <v>55500</v>
      </c>
      <c r="AD51" s="401"/>
      <c r="AE51" s="401">
        <v>165.11628990447531</v>
      </c>
      <c r="AF51" s="490" t="s">
        <v>802</v>
      </c>
      <c r="AG51" s="490" t="s">
        <v>801</v>
      </c>
      <c r="AH51" s="401">
        <v>60.131656233971114</v>
      </c>
      <c r="AI51" s="401">
        <v>69.190705311686031</v>
      </c>
      <c r="AJ51" s="401">
        <v>265.5156404846428</v>
      </c>
      <c r="AK51" s="401">
        <v>218.14629180144533</v>
      </c>
      <c r="AL51" s="402">
        <v>6.6647420451292909</v>
      </c>
      <c r="AM51" s="402">
        <v>7.5272341991310059</v>
      </c>
      <c r="AN51" s="402">
        <v>7.7022268372113221</v>
      </c>
      <c r="AO51" s="401"/>
      <c r="AP51" s="402">
        <v>2.8274913383433367</v>
      </c>
      <c r="AQ51" s="400">
        <v>0.22320846534952982</v>
      </c>
      <c r="AR51" s="403" t="s">
        <v>131</v>
      </c>
      <c r="AS51" s="400">
        <v>0.2706216736480378</v>
      </c>
      <c r="AT51" s="403" t="s">
        <v>395</v>
      </c>
      <c r="AU51" s="403" t="s">
        <v>119</v>
      </c>
      <c r="AV51" s="402">
        <v>3.8303193782528884</v>
      </c>
      <c r="AW51" s="402">
        <v>1.4570956156264243</v>
      </c>
      <c r="AX51" s="400"/>
      <c r="AY51" s="400"/>
      <c r="AZ51" s="401">
        <v>34.661837828243215</v>
      </c>
      <c r="BA51" s="400">
        <v>0.90224650114973037</v>
      </c>
      <c r="BB51" s="400">
        <v>0.34536196959211396</v>
      </c>
      <c r="BC51" s="403" t="s">
        <v>214</v>
      </c>
      <c r="BD51" s="398"/>
      <c r="BE51" s="394">
        <v>43.451002120971694</v>
      </c>
      <c r="BF51" s="399">
        <v>0.37423928527656569</v>
      </c>
      <c r="BG51" s="398"/>
      <c r="BH51" s="398" t="s">
        <v>800</v>
      </c>
    </row>
    <row r="52" spans="23:60" ht="17">
      <c r="W52" s="567" t="s">
        <v>799</v>
      </c>
      <c r="X52" s="563" t="s">
        <v>184</v>
      </c>
      <c r="Y52" s="563" t="s">
        <v>798</v>
      </c>
      <c r="Z52" s="563" t="s">
        <v>797</v>
      </c>
      <c r="AA52" s="562"/>
      <c r="AB52" s="561">
        <v>489.10003794739669</v>
      </c>
      <c r="AC52" s="565">
        <v>218000</v>
      </c>
      <c r="AD52" s="561"/>
      <c r="AE52" s="561">
        <v>151.3400622739577</v>
      </c>
      <c r="AF52" s="561">
        <v>55.483831839595027</v>
      </c>
      <c r="AG52" s="561">
        <v>47.400960742041256</v>
      </c>
      <c r="AH52" s="561">
        <v>61.900713813923261</v>
      </c>
      <c r="AI52" s="561">
        <v>69.252140212632938</v>
      </c>
      <c r="AJ52" s="561">
        <v>137.01360805535697</v>
      </c>
      <c r="AK52" s="561">
        <v>113.12958233162573</v>
      </c>
      <c r="AL52" s="561">
        <v>182.77973258384964</v>
      </c>
      <c r="AM52" s="561">
        <v>138.96907290198916</v>
      </c>
      <c r="AN52" s="561">
        <v>128.1308943572991</v>
      </c>
      <c r="AO52" s="562"/>
      <c r="AP52" s="561">
        <v>152.2828056799469</v>
      </c>
      <c r="AQ52" s="561">
        <v>11.400471117617714</v>
      </c>
      <c r="AR52" s="562">
        <v>0.56266375940645208</v>
      </c>
      <c r="AS52" s="561">
        <v>15.727202014977845</v>
      </c>
      <c r="AT52" s="561">
        <v>244.96433857237517</v>
      </c>
      <c r="AU52" s="561">
        <v>149.52577205452235</v>
      </c>
      <c r="AV52" s="561">
        <v>77.322479927684157</v>
      </c>
      <c r="AW52" s="564">
        <v>7.3160965619683624</v>
      </c>
      <c r="AX52" s="562"/>
      <c r="AY52" s="562"/>
      <c r="AZ52" s="561">
        <v>53.834586091927896</v>
      </c>
      <c r="BA52" s="561">
        <v>128.02853077199637</v>
      </c>
      <c r="BB52" s="562">
        <v>7.4807001950834534E-2</v>
      </c>
      <c r="BC52" s="562">
        <v>4.498332136440434E-2</v>
      </c>
      <c r="BD52" s="558"/>
      <c r="BE52" s="560">
        <v>42.093000411987298</v>
      </c>
      <c r="BF52" s="559">
        <v>0.65709713947378112</v>
      </c>
      <c r="BG52" s="558"/>
      <c r="BH52" s="557" t="s">
        <v>796</v>
      </c>
    </row>
    <row r="53" spans="23:60" ht="17">
      <c r="W53" s="478" t="s">
        <v>795</v>
      </c>
      <c r="X53" s="368" t="s">
        <v>285</v>
      </c>
      <c r="Y53" s="368" t="s">
        <v>794</v>
      </c>
      <c r="Z53" s="368" t="s">
        <v>259</v>
      </c>
      <c r="AA53" s="365"/>
      <c r="AB53" s="366">
        <v>482.33942532965312</v>
      </c>
      <c r="AC53" s="369">
        <v>218000</v>
      </c>
      <c r="AD53" s="366"/>
      <c r="AE53" s="366">
        <v>144.75908333799973</v>
      </c>
      <c r="AF53" s="366">
        <v>28.984658942723513</v>
      </c>
      <c r="AG53" s="366">
        <v>22.573435541369737</v>
      </c>
      <c r="AH53" s="366">
        <v>55.167083053588406</v>
      </c>
      <c r="AI53" s="366">
        <v>59.569365174247466</v>
      </c>
      <c r="AJ53" s="366">
        <v>111.51151620765683</v>
      </c>
      <c r="AK53" s="366">
        <v>99.141959293848359</v>
      </c>
      <c r="AL53" s="366">
        <v>150.94345478970732</v>
      </c>
      <c r="AM53" s="366">
        <v>120.8433759624516</v>
      </c>
      <c r="AN53" s="366">
        <v>120.43760068957911</v>
      </c>
      <c r="AO53" s="365"/>
      <c r="AP53" s="366">
        <v>98.880014485298076</v>
      </c>
      <c r="AQ53" s="366">
        <v>10.129561196630275</v>
      </c>
      <c r="AR53" s="367">
        <v>1.0320175285623743</v>
      </c>
      <c r="AS53" s="366">
        <v>13.521630096723266</v>
      </c>
      <c r="AT53" s="366">
        <v>202.28608005169329</v>
      </c>
      <c r="AU53" s="366">
        <v>114.47972391998179</v>
      </c>
      <c r="AV53" s="366">
        <v>51.41287260571039</v>
      </c>
      <c r="AW53" s="365">
        <v>0.99279000435328546</v>
      </c>
      <c r="AX53" s="365"/>
      <c r="AY53" s="365"/>
      <c r="AZ53" s="366">
        <v>56.682832575394073</v>
      </c>
      <c r="BA53" s="366">
        <v>122.41219005816779</v>
      </c>
      <c r="BB53" s="365">
        <v>0.89523657868282569</v>
      </c>
      <c r="BC53" s="365">
        <v>0.90868218315718741</v>
      </c>
      <c r="BD53" s="307"/>
      <c r="BE53" s="308">
        <v>44.809001922607393</v>
      </c>
      <c r="BF53" s="364">
        <v>0.79999196263506034</v>
      </c>
      <c r="BG53" s="307"/>
      <c r="BH53" s="475" t="s">
        <v>793</v>
      </c>
    </row>
    <row r="54" spans="23:60" ht="17">
      <c r="W54" s="478" t="s">
        <v>792</v>
      </c>
      <c r="X54" s="368" t="s">
        <v>41</v>
      </c>
      <c r="Y54" s="368" t="s">
        <v>791</v>
      </c>
      <c r="Z54" s="368" t="s">
        <v>790</v>
      </c>
      <c r="AA54" s="365"/>
      <c r="AB54" s="366">
        <v>523.07439950785522</v>
      </c>
      <c r="AC54" s="369">
        <v>218000</v>
      </c>
      <c r="AD54" s="366"/>
      <c r="AE54" s="366">
        <v>150.12113808749947</v>
      </c>
      <c r="AF54" s="366">
        <v>24.416156934641482</v>
      </c>
      <c r="AG54" s="366">
        <v>17.471064462060021</v>
      </c>
      <c r="AH54" s="366">
        <v>59.127494924696443</v>
      </c>
      <c r="AI54" s="366">
        <v>62.263945786145733</v>
      </c>
      <c r="AJ54" s="366">
        <v>111.8603076583266</v>
      </c>
      <c r="AK54" s="366">
        <v>96.407973567462605</v>
      </c>
      <c r="AL54" s="366">
        <v>179.76561442055618</v>
      </c>
      <c r="AM54" s="366">
        <v>128.78313474896083</v>
      </c>
      <c r="AN54" s="366">
        <v>133.9312285403104</v>
      </c>
      <c r="AO54" s="365"/>
      <c r="AP54" s="366">
        <v>117.47322448505503</v>
      </c>
      <c r="AQ54" s="366">
        <v>12.024078753716854</v>
      </c>
      <c r="AR54" s="365">
        <v>0.47086250029653898</v>
      </c>
      <c r="AS54" s="366">
        <v>16.383323165359617</v>
      </c>
      <c r="AT54" s="366">
        <v>262.14150418060569</v>
      </c>
      <c r="AU54" s="366">
        <v>145.9264312298117</v>
      </c>
      <c r="AV54" s="366">
        <v>56.236245706372934</v>
      </c>
      <c r="AW54" s="367">
        <v>5.4204442315897001</v>
      </c>
      <c r="AX54" s="365"/>
      <c r="AY54" s="365"/>
      <c r="AZ54" s="366">
        <v>64.457168986498971</v>
      </c>
      <c r="BA54" s="366">
        <v>129.86702219287187</v>
      </c>
      <c r="BB54" s="368" t="s">
        <v>167</v>
      </c>
      <c r="BC54" s="365">
        <v>6.1859836635949371E-2</v>
      </c>
      <c r="BD54" s="307"/>
      <c r="BE54" s="308">
        <v>43.451002120971694</v>
      </c>
      <c r="BF54" s="364">
        <v>0.81671679522567797</v>
      </c>
      <c r="BG54" s="307"/>
      <c r="BH54" s="475" t="s">
        <v>789</v>
      </c>
    </row>
    <row r="55" spans="23:60" ht="17">
      <c r="W55" s="478" t="s">
        <v>788</v>
      </c>
      <c r="X55" s="368" t="s">
        <v>192</v>
      </c>
      <c r="Y55" s="368" t="s">
        <v>787</v>
      </c>
      <c r="Z55" s="368" t="s">
        <v>786</v>
      </c>
      <c r="AA55" s="365"/>
      <c r="AB55" s="366">
        <v>480.41701415671048</v>
      </c>
      <c r="AC55" s="369">
        <v>218000</v>
      </c>
      <c r="AD55" s="366"/>
      <c r="AE55" s="366">
        <v>150.60366556475157</v>
      </c>
      <c r="AF55" s="366">
        <v>24.949016566193471</v>
      </c>
      <c r="AG55" s="366">
        <v>18.397672192877494</v>
      </c>
      <c r="AH55" s="366">
        <v>61.503999859421221</v>
      </c>
      <c r="AI55" s="366">
        <v>68.353805536905242</v>
      </c>
      <c r="AJ55" s="366">
        <v>164.11980752498823</v>
      </c>
      <c r="AK55" s="366">
        <v>145.17834142482204</v>
      </c>
      <c r="AL55" s="366">
        <v>174.84123527847055</v>
      </c>
      <c r="AM55" s="366">
        <v>134.89091877719301</v>
      </c>
      <c r="AN55" s="366">
        <v>134.58675312322569</v>
      </c>
      <c r="AO55" s="365"/>
      <c r="AP55" s="366">
        <v>132.53293636754779</v>
      </c>
      <c r="AQ55" s="366">
        <v>13.211048946242872</v>
      </c>
      <c r="AR55" s="365">
        <v>0.47957157219182817</v>
      </c>
      <c r="AS55" s="366">
        <v>16.942356520098748</v>
      </c>
      <c r="AT55" s="366">
        <v>281.75409282150821</v>
      </c>
      <c r="AU55" s="366">
        <v>161.42862491582613</v>
      </c>
      <c r="AV55" s="366">
        <v>66.620459875403441</v>
      </c>
      <c r="AW55" s="366">
        <v>53.700117190815789</v>
      </c>
      <c r="AX55" s="365"/>
      <c r="AY55" s="365"/>
      <c r="AZ55" s="366">
        <v>82.972824431819191</v>
      </c>
      <c r="BA55" s="366">
        <v>123.70078222013908</v>
      </c>
      <c r="BB55" s="365">
        <v>3.7200169778140765E-2</v>
      </c>
      <c r="BC55" s="368" t="s">
        <v>57</v>
      </c>
      <c r="BD55" s="307"/>
      <c r="BE55" s="308">
        <v>44.809001922607393</v>
      </c>
      <c r="BF55" s="364">
        <v>0.69407266658651168</v>
      </c>
      <c r="BG55" s="307"/>
      <c r="BH55" s="475" t="s">
        <v>785</v>
      </c>
    </row>
    <row r="56" spans="23:60" ht="17">
      <c r="W56" s="478" t="s">
        <v>784</v>
      </c>
      <c r="X56" s="442" t="s">
        <v>74</v>
      </c>
      <c r="Y56" s="477" t="s">
        <v>783</v>
      </c>
      <c r="Z56" s="477" t="s">
        <v>742</v>
      </c>
      <c r="AA56" s="366"/>
      <c r="AB56" s="366">
        <v>479.29103407796538</v>
      </c>
      <c r="AC56" s="369">
        <v>218000</v>
      </c>
      <c r="AD56" s="366"/>
      <c r="AE56" s="366">
        <v>138.8638692918496</v>
      </c>
      <c r="AF56" s="366">
        <v>53.577559139447978</v>
      </c>
      <c r="AG56" s="366">
        <v>46.456388034323986</v>
      </c>
      <c r="AH56" s="366">
        <v>55.620838022376446</v>
      </c>
      <c r="AI56" s="366">
        <v>64.920344393579796</v>
      </c>
      <c r="AJ56" s="366">
        <v>2873.4507633627431</v>
      </c>
      <c r="AK56" s="366">
        <v>2769.3661423004887</v>
      </c>
      <c r="AL56" s="366">
        <v>132.29970543201205</v>
      </c>
      <c r="AM56" s="366">
        <v>135.75725641918953</v>
      </c>
      <c r="AN56" s="366">
        <v>133.89822366037515</v>
      </c>
      <c r="AO56" s="365"/>
      <c r="AP56" s="366">
        <v>90.198744816433646</v>
      </c>
      <c r="AQ56" s="366">
        <v>13.072841275542903</v>
      </c>
      <c r="AR56" s="365">
        <v>0.53392290071979065</v>
      </c>
      <c r="AS56" s="366">
        <v>15.695768047761927</v>
      </c>
      <c r="AT56" s="366">
        <v>197.059226633045</v>
      </c>
      <c r="AU56" s="366">
        <v>127.52042052000836</v>
      </c>
      <c r="AV56" s="366">
        <v>62.78334236017205</v>
      </c>
      <c r="AW56" s="367">
        <v>6.5231642189072545</v>
      </c>
      <c r="AX56" s="365"/>
      <c r="AY56" s="365"/>
      <c r="AZ56" s="366">
        <v>227.66854914764232</v>
      </c>
      <c r="BA56" s="366">
        <v>103.03761611053635</v>
      </c>
      <c r="BB56" s="365">
        <v>4.3476300612332333E-2</v>
      </c>
      <c r="BC56" s="365">
        <v>2.3201097908805368E-2</v>
      </c>
      <c r="BD56" s="307"/>
      <c r="BE56" s="308">
        <v>44.809001922607393</v>
      </c>
      <c r="BF56" s="364">
        <v>0.78373878817267562</v>
      </c>
      <c r="BG56" s="307"/>
      <c r="BH56" s="475" t="s">
        <v>782</v>
      </c>
    </row>
    <row r="57" spans="23:60" ht="17">
      <c r="W57" s="567" t="s">
        <v>781</v>
      </c>
      <c r="X57" s="564">
        <v>3.2256200537561055</v>
      </c>
      <c r="Y57" s="564">
        <v>9.7179967729666981</v>
      </c>
      <c r="Z57" s="561">
        <v>696.98971451799298</v>
      </c>
      <c r="AA57" s="561"/>
      <c r="AB57" s="561">
        <v>103.68126682134799</v>
      </c>
      <c r="AC57" s="565">
        <v>18500</v>
      </c>
      <c r="AD57" s="561"/>
      <c r="AE57" s="561">
        <v>208.90681286584092</v>
      </c>
      <c r="AF57" s="561">
        <v>83.392516629283833</v>
      </c>
      <c r="AG57" s="561">
        <v>70.970188440326766</v>
      </c>
      <c r="AH57" s="562">
        <v>0.20508969406475125</v>
      </c>
      <c r="AI57" s="562">
        <v>0.3246967311291753</v>
      </c>
      <c r="AJ57" s="561">
        <v>21.38279310340296</v>
      </c>
      <c r="AK57" s="564">
        <v>4.1404332904857259</v>
      </c>
      <c r="AL57" s="563" t="s">
        <v>55</v>
      </c>
      <c r="AM57" s="561">
        <v>300.63570149211984</v>
      </c>
      <c r="AN57" s="561">
        <v>294.92267974808874</v>
      </c>
      <c r="AO57" s="562"/>
      <c r="AP57" s="562">
        <v>0.16193322460168202</v>
      </c>
      <c r="AQ57" s="562">
        <v>2.8863369999697502E-2</v>
      </c>
      <c r="AR57" s="564">
        <v>2.5310458572959402</v>
      </c>
      <c r="AS57" s="562">
        <v>3.7130799093357626E-2</v>
      </c>
      <c r="AT57" s="562">
        <v>0.61354038236962205</v>
      </c>
      <c r="AU57" s="562">
        <v>0.24312233749268961</v>
      </c>
      <c r="AV57" s="562">
        <v>0.86101193506603524</v>
      </c>
      <c r="AW57" s="562">
        <v>1.424969100685246E-2</v>
      </c>
      <c r="AX57" s="562"/>
      <c r="AY57" s="562"/>
      <c r="AZ57" s="562">
        <v>0.22969781245001511</v>
      </c>
      <c r="BA57" s="562">
        <v>0.67167545180524646</v>
      </c>
      <c r="BB57" s="562">
        <v>0.12524850359291298</v>
      </c>
      <c r="BC57" s="562">
        <v>0.21923895725484591</v>
      </c>
      <c r="BD57" s="558"/>
      <c r="BE57" s="560">
        <v>43.451002120971694</v>
      </c>
      <c r="BF57" s="559">
        <v>2.4022217622453303</v>
      </c>
      <c r="BG57" s="558"/>
      <c r="BH57" s="557" t="s">
        <v>779</v>
      </c>
    </row>
    <row r="58" spans="23:60" ht="17">
      <c r="W58" s="478" t="s">
        <v>780</v>
      </c>
      <c r="X58" s="366">
        <v>15.506156387709076</v>
      </c>
      <c r="Y58" s="366">
        <v>23.931500034488529</v>
      </c>
      <c r="Z58" s="366">
        <v>740.78941747347187</v>
      </c>
      <c r="AA58" s="366"/>
      <c r="AB58" s="366">
        <v>108.73060530066282</v>
      </c>
      <c r="AC58" s="369">
        <v>18500</v>
      </c>
      <c r="AD58" s="366"/>
      <c r="AE58" s="366">
        <v>210.43025948014824</v>
      </c>
      <c r="AF58" s="366">
        <v>93.590324269031555</v>
      </c>
      <c r="AG58" s="366">
        <v>79.667075067273828</v>
      </c>
      <c r="AH58" s="367">
        <v>2.8077264813275278</v>
      </c>
      <c r="AI58" s="367">
        <v>3.1788515500567938</v>
      </c>
      <c r="AJ58" s="366">
        <v>21.761228746811849</v>
      </c>
      <c r="AK58" s="367">
        <v>4.357583779176351</v>
      </c>
      <c r="AL58" s="368" t="s">
        <v>211</v>
      </c>
      <c r="AM58" s="366">
        <v>313.27146368391396</v>
      </c>
      <c r="AN58" s="366">
        <v>308.35706825957669</v>
      </c>
      <c r="AO58" s="365"/>
      <c r="AP58" s="365">
        <v>6.7404197185774964E-2</v>
      </c>
      <c r="AQ58" s="368" t="s">
        <v>239</v>
      </c>
      <c r="AR58" s="367">
        <v>2.7052865108989237</v>
      </c>
      <c r="AS58" s="365">
        <v>1.9634109424287949E-2</v>
      </c>
      <c r="AT58" s="368" t="s">
        <v>54</v>
      </c>
      <c r="AU58" s="368" t="s">
        <v>265</v>
      </c>
      <c r="AV58" s="365">
        <v>0.98529502245890432</v>
      </c>
      <c r="AW58" s="366">
        <v>0</v>
      </c>
      <c r="AX58" s="365"/>
      <c r="AY58" s="365"/>
      <c r="AZ58" s="366">
        <v>0</v>
      </c>
      <c r="BA58" s="365">
        <v>0.35810626902510101</v>
      </c>
      <c r="BB58" s="365">
        <v>0.1596343244761104</v>
      </c>
      <c r="BC58" s="365">
        <v>0.21109811780764534</v>
      </c>
      <c r="BD58" s="307"/>
      <c r="BE58" s="308">
        <v>45.488000869750998</v>
      </c>
      <c r="BF58" s="364">
        <v>2.2708434913982982</v>
      </c>
      <c r="BG58" s="307"/>
      <c r="BH58" s="475" t="s">
        <v>779</v>
      </c>
    </row>
    <row r="59" spans="23:60" ht="17">
      <c r="W59" s="478" t="s">
        <v>778</v>
      </c>
      <c r="X59" s="367">
        <v>2.5486316979855674</v>
      </c>
      <c r="Y59" s="367">
        <v>8.8054470173441377</v>
      </c>
      <c r="Z59" s="366">
        <v>740.59919221730399</v>
      </c>
      <c r="AA59" s="366"/>
      <c r="AB59" s="366">
        <v>111.03266656338917</v>
      </c>
      <c r="AC59" s="369">
        <v>18500</v>
      </c>
      <c r="AD59" s="366"/>
      <c r="AE59" s="366">
        <v>210.10208602582563</v>
      </c>
      <c r="AF59" s="366">
        <v>89.375747510068948</v>
      </c>
      <c r="AG59" s="366">
        <v>81.348216801151537</v>
      </c>
      <c r="AH59" s="368" t="s">
        <v>214</v>
      </c>
      <c r="AI59" s="365">
        <v>8.9009486129855223E-2</v>
      </c>
      <c r="AJ59" s="366">
        <v>21.220854280778223</v>
      </c>
      <c r="AK59" s="367">
        <v>4.0171789789285262</v>
      </c>
      <c r="AL59" s="368" t="s">
        <v>326</v>
      </c>
      <c r="AM59" s="366">
        <v>331.1663464697354</v>
      </c>
      <c r="AN59" s="366">
        <v>331.53789407511215</v>
      </c>
      <c r="AO59" s="365"/>
      <c r="AP59" s="365">
        <v>7.7102488370246094E-2</v>
      </c>
      <c r="AQ59" s="365">
        <v>2.8928485455631779E-2</v>
      </c>
      <c r="AR59" s="367">
        <v>2.7649723795964585</v>
      </c>
      <c r="AS59" s="365">
        <v>1.7785844346229991E-2</v>
      </c>
      <c r="AT59" s="368" t="s">
        <v>134</v>
      </c>
      <c r="AU59" s="368" t="s">
        <v>59</v>
      </c>
      <c r="AV59" s="365">
        <v>0.53365484652767925</v>
      </c>
      <c r="AW59" s="476">
        <v>2.0115505605413264E-3</v>
      </c>
      <c r="AX59" s="365"/>
      <c r="AY59" s="365"/>
      <c r="AZ59" s="366">
        <v>0</v>
      </c>
      <c r="BA59" s="365">
        <v>0.32984057091908242</v>
      </c>
      <c r="BB59" s="365">
        <v>0.13692747888045603</v>
      </c>
      <c r="BC59" s="365">
        <v>0.20098665926996648</v>
      </c>
      <c r="BD59" s="307"/>
      <c r="BE59" s="308">
        <v>43.451002120971694</v>
      </c>
      <c r="BF59" s="364">
        <v>2.0899252573763385</v>
      </c>
      <c r="BG59" s="307"/>
      <c r="BH59" s="475" t="s">
        <v>777</v>
      </c>
    </row>
    <row r="60" spans="23:60" ht="17">
      <c r="W60" s="478" t="s">
        <v>776</v>
      </c>
      <c r="X60" s="367">
        <v>2.1617744195496482</v>
      </c>
      <c r="Y60" s="367">
        <v>8.5182133807436795</v>
      </c>
      <c r="Z60" s="366">
        <v>719.9568295356745</v>
      </c>
      <c r="AA60" s="366"/>
      <c r="AB60" s="366">
        <v>103.49807013600118</v>
      </c>
      <c r="AC60" s="369">
        <v>18500</v>
      </c>
      <c r="AD60" s="366"/>
      <c r="AE60" s="366">
        <v>205.25799934019062</v>
      </c>
      <c r="AF60" s="366">
        <v>95.789277120512835</v>
      </c>
      <c r="AG60" s="366">
        <v>70.945725147637674</v>
      </c>
      <c r="AH60" s="365">
        <v>2.8120932774274559E-2</v>
      </c>
      <c r="AI60" s="365">
        <v>0.12495718107497744</v>
      </c>
      <c r="AJ60" s="366">
        <v>19.903726387509714</v>
      </c>
      <c r="AK60" s="367">
        <v>4.4394232310032198</v>
      </c>
      <c r="AL60" s="477" t="s">
        <v>279</v>
      </c>
      <c r="AM60" s="366">
        <v>319.83541667692037</v>
      </c>
      <c r="AN60" s="366">
        <v>316.55177431610076</v>
      </c>
      <c r="AO60" s="365"/>
      <c r="AP60" s="365">
        <v>7.5451035012105344E-2</v>
      </c>
      <c r="AQ60" s="365">
        <v>1.8047295542367569E-2</v>
      </c>
      <c r="AR60" s="367">
        <v>2.5524778903349215</v>
      </c>
      <c r="AS60" s="365">
        <v>2.0777060938415231E-2</v>
      </c>
      <c r="AT60" s="368" t="s">
        <v>54</v>
      </c>
      <c r="AU60" s="368" t="s">
        <v>185</v>
      </c>
      <c r="AV60" s="365">
        <v>0.54105130287922065</v>
      </c>
      <c r="AW60" s="476">
        <v>4.521167163722287E-3</v>
      </c>
      <c r="AX60" s="365"/>
      <c r="AY60" s="365"/>
      <c r="AZ60" s="366">
        <v>0</v>
      </c>
      <c r="BA60" s="365">
        <v>0.26477392608762251</v>
      </c>
      <c r="BB60" s="365">
        <v>0.11871862123156766</v>
      </c>
      <c r="BC60" s="365">
        <v>0.22964755822039054</v>
      </c>
      <c r="BD60" s="307"/>
      <c r="BE60" s="308">
        <v>43.451002120971694</v>
      </c>
      <c r="BF60" s="364">
        <v>2.157672432650509</v>
      </c>
      <c r="BG60" s="307"/>
      <c r="BH60" s="475" t="s">
        <v>775</v>
      </c>
    </row>
    <row r="61" spans="23:60" ht="17">
      <c r="W61" s="463" t="s">
        <v>774</v>
      </c>
      <c r="X61" s="460">
        <v>2.6022412343301329</v>
      </c>
      <c r="Y61" s="460">
        <v>9.0464044521305986</v>
      </c>
      <c r="Z61" s="459">
        <v>750.1413155911581</v>
      </c>
      <c r="AA61" s="459"/>
      <c r="AB61" s="459">
        <v>106.84771770083168</v>
      </c>
      <c r="AC61" s="462">
        <v>18500</v>
      </c>
      <c r="AD61" s="459"/>
      <c r="AE61" s="459">
        <v>222.81637270515205</v>
      </c>
      <c r="AF61" s="459">
        <v>91.775025037157931</v>
      </c>
      <c r="AG61" s="459">
        <v>78.701874230896394</v>
      </c>
      <c r="AH61" s="492" t="s">
        <v>57</v>
      </c>
      <c r="AI61" s="492" t="s">
        <v>180</v>
      </c>
      <c r="AJ61" s="459">
        <v>20.269887029422037</v>
      </c>
      <c r="AK61" s="492" t="s">
        <v>773</v>
      </c>
      <c r="AL61" s="568" t="s">
        <v>614</v>
      </c>
      <c r="AM61" s="459">
        <v>325.64658645926841</v>
      </c>
      <c r="AN61" s="459">
        <v>328.11836819489542</v>
      </c>
      <c r="AO61" s="461"/>
      <c r="AP61" s="461">
        <v>7.8694079281373827E-2</v>
      </c>
      <c r="AQ61" s="461">
        <v>2.5826135859461918E-2</v>
      </c>
      <c r="AR61" s="460">
        <v>2.7826661576461196</v>
      </c>
      <c r="AS61" s="461">
        <v>3.244448308842296E-2</v>
      </c>
      <c r="AT61" s="492" t="s">
        <v>127</v>
      </c>
      <c r="AU61" s="461">
        <v>7.800517153864564E-2</v>
      </c>
      <c r="AV61" s="461">
        <v>0.51209508704853901</v>
      </c>
      <c r="AW61" s="461">
        <v>5.4357906709121238E-3</v>
      </c>
      <c r="AX61" s="461"/>
      <c r="AY61" s="461"/>
      <c r="AZ61" s="459">
        <v>0</v>
      </c>
      <c r="BA61" s="461">
        <v>0.39738648832997964</v>
      </c>
      <c r="BB61" s="461">
        <v>0.12125335911957781</v>
      </c>
      <c r="BC61" s="461">
        <v>0.21143469613076327</v>
      </c>
      <c r="BD61" s="456"/>
      <c r="BE61" s="458">
        <v>46.166000366210994</v>
      </c>
      <c r="BF61" s="457">
        <v>0.95782490557292099</v>
      </c>
      <c r="BG61" s="456"/>
      <c r="BH61" s="455" t="s">
        <v>772</v>
      </c>
    </row>
    <row r="62" spans="23:60" ht="17">
      <c r="W62" s="567" t="s">
        <v>771</v>
      </c>
      <c r="X62" s="564">
        <v>1.7178651252508998</v>
      </c>
      <c r="Y62" s="566" t="s">
        <v>770</v>
      </c>
      <c r="Z62" s="561">
        <v>450.65396491844331</v>
      </c>
      <c r="AA62" s="561"/>
      <c r="AB62" s="561">
        <v>747.51171030226953</v>
      </c>
      <c r="AC62" s="565">
        <v>459100</v>
      </c>
      <c r="AD62" s="561"/>
      <c r="AE62" s="561">
        <v>2626.8856129613041</v>
      </c>
      <c r="AF62" s="561">
        <v>225.28788709283597</v>
      </c>
      <c r="AG62" s="561">
        <v>191.00406976281045</v>
      </c>
      <c r="AH62" s="561">
        <v>10.492155951001379</v>
      </c>
      <c r="AI62" s="564">
        <v>9.049897727057596</v>
      </c>
      <c r="AJ62" s="561">
        <v>47.439477865464369</v>
      </c>
      <c r="AK62" s="563" t="s">
        <v>769</v>
      </c>
      <c r="AL62" s="561">
        <v>133.06763022249837</v>
      </c>
      <c r="AM62" s="561">
        <v>396.37344540481246</v>
      </c>
      <c r="AN62" s="561">
        <v>400.65334161723052</v>
      </c>
      <c r="AO62" s="562"/>
      <c r="AP62" s="561">
        <v>15.170216218143475</v>
      </c>
      <c r="AQ62" s="561">
        <v>19.898272851093356</v>
      </c>
      <c r="AR62" s="561">
        <v>560.09794476172897</v>
      </c>
      <c r="AS62" s="561">
        <v>19.294441137684114</v>
      </c>
      <c r="AT62" s="561">
        <v>477.13175060096523</v>
      </c>
      <c r="AU62" s="561">
        <v>297.49730778731816</v>
      </c>
      <c r="AV62" s="561">
        <v>10.555809986094685</v>
      </c>
      <c r="AW62" s="562">
        <v>0.26559416137918268</v>
      </c>
      <c r="AX62" s="562"/>
      <c r="AY62" s="562"/>
      <c r="AZ62" s="562">
        <v>0.8991706184161341</v>
      </c>
      <c r="BA62" s="561">
        <v>92.117667185500196</v>
      </c>
      <c r="BB62" s="561">
        <v>769.07528620969788</v>
      </c>
      <c r="BC62" s="561">
        <v>502.72093812949362</v>
      </c>
      <c r="BD62" s="558"/>
      <c r="BE62" s="560">
        <v>35.983001708984396</v>
      </c>
      <c r="BF62" s="559">
        <v>0.44144785848548085</v>
      </c>
      <c r="BG62" s="558"/>
      <c r="BH62" s="557" t="s">
        <v>768</v>
      </c>
    </row>
    <row r="63" spans="23:60" ht="18" thickBot="1">
      <c r="W63" s="463" t="s">
        <v>767</v>
      </c>
      <c r="X63" s="460">
        <v>2.0467951035889524</v>
      </c>
      <c r="Y63" s="492" t="s">
        <v>766</v>
      </c>
      <c r="Z63" s="459">
        <v>529.93994452191203</v>
      </c>
      <c r="AA63" s="459"/>
      <c r="AB63" s="459">
        <v>659.61982249241066</v>
      </c>
      <c r="AC63" s="462">
        <v>459100</v>
      </c>
      <c r="AD63" s="459"/>
      <c r="AE63" s="459">
        <v>2717.712268915493</v>
      </c>
      <c r="AF63" s="459">
        <v>235.37690276898502</v>
      </c>
      <c r="AG63" s="459">
        <v>194.14585609715556</v>
      </c>
      <c r="AH63" s="460">
        <v>8.9748389134565887</v>
      </c>
      <c r="AI63" s="460">
        <v>5.1512151119599681</v>
      </c>
      <c r="AJ63" s="459">
        <v>54.34786840234753</v>
      </c>
      <c r="AK63" s="459">
        <v>16.722125633506874</v>
      </c>
      <c r="AL63" s="459">
        <v>108.5028511164146</v>
      </c>
      <c r="AM63" s="459">
        <v>460.69630981388883</v>
      </c>
      <c r="AN63" s="459">
        <v>480.99026723205083</v>
      </c>
      <c r="AO63" s="461"/>
      <c r="AP63" s="460">
        <v>9.0674196701286398</v>
      </c>
      <c r="AQ63" s="459">
        <v>19.075125989047091</v>
      </c>
      <c r="AR63" s="459">
        <v>747.42459544517169</v>
      </c>
      <c r="AS63" s="459">
        <v>17.610317567635054</v>
      </c>
      <c r="AT63" s="459">
        <v>491.17251465004972</v>
      </c>
      <c r="AU63" s="459">
        <v>371.38783453790273</v>
      </c>
      <c r="AV63" s="460">
        <v>7.975977323184571</v>
      </c>
      <c r="AW63" s="461">
        <v>0.14377374810079394</v>
      </c>
      <c r="AX63" s="461"/>
      <c r="AY63" s="461"/>
      <c r="AZ63" s="461">
        <v>0.77769560774342572</v>
      </c>
      <c r="BA63" s="459">
        <v>63.239180021254171</v>
      </c>
      <c r="BB63" s="459">
        <v>1125.8947776803459</v>
      </c>
      <c r="BC63" s="459">
        <v>968.58192496056597</v>
      </c>
      <c r="BD63" s="456"/>
      <c r="BE63" s="458">
        <v>44.130002975463896</v>
      </c>
      <c r="BF63" s="457">
        <v>0.4651308663791196</v>
      </c>
      <c r="BG63" s="456"/>
      <c r="BH63" s="455" t="s">
        <v>765</v>
      </c>
    </row>
    <row r="64" spans="23:60" ht="17">
      <c r="W64" s="556" t="s">
        <v>764</v>
      </c>
      <c r="X64" s="552">
        <v>0.78294168270146802</v>
      </c>
      <c r="Y64" s="553" t="s">
        <v>455</v>
      </c>
      <c r="Z64" s="551">
        <v>204.17909501664678</v>
      </c>
      <c r="AA64" s="552"/>
      <c r="AB64" s="551">
        <v>273.60403628929532</v>
      </c>
      <c r="AC64" s="555">
        <v>218000</v>
      </c>
      <c r="AD64" s="551">
        <v>340676.65648505598</v>
      </c>
      <c r="AE64" s="551">
        <v>1442.9360954451927</v>
      </c>
      <c r="AF64" s="551">
        <v>101.91499432345246</v>
      </c>
      <c r="AG64" s="551">
        <v>87.710912765322533</v>
      </c>
      <c r="AH64" s="554">
        <v>3.9103215916609408</v>
      </c>
      <c r="AI64" s="554">
        <v>1.849597975972191</v>
      </c>
      <c r="AJ64" s="551">
        <v>20.250649490967145</v>
      </c>
      <c r="AK64" s="554">
        <v>6.8602531021139317</v>
      </c>
      <c r="AL64" s="551">
        <v>42.194128880040729</v>
      </c>
      <c r="AM64" s="551">
        <v>189.67849602645484</v>
      </c>
      <c r="AN64" s="551">
        <v>194.52448591943585</v>
      </c>
      <c r="AO64" s="552"/>
      <c r="AP64" s="554">
        <v>1.8341309867445494</v>
      </c>
      <c r="AQ64" s="554">
        <v>7.1321288251486106</v>
      </c>
      <c r="AR64" s="551">
        <v>448.80460927732992</v>
      </c>
      <c r="AS64" s="554">
        <v>5.6978194001392426</v>
      </c>
      <c r="AT64" s="551">
        <v>235.10306355790487</v>
      </c>
      <c r="AU64" s="551">
        <v>188.72272072799902</v>
      </c>
      <c r="AV64" s="554">
        <v>3.2994632791387235</v>
      </c>
      <c r="AW64" s="553" t="s">
        <v>57</v>
      </c>
      <c r="AX64" s="552"/>
      <c r="AY64" s="552"/>
      <c r="AZ64" s="552">
        <v>4.9304753346176115E-2</v>
      </c>
      <c r="BA64" s="551">
        <v>15.648720552989117</v>
      </c>
      <c r="BB64" s="551">
        <v>613.73667818807849</v>
      </c>
      <c r="BC64" s="551">
        <v>546.74142349741771</v>
      </c>
      <c r="BD64" s="548"/>
      <c r="BE64" s="550">
        <v>47.524002075195298</v>
      </c>
      <c r="BF64" s="549">
        <v>1.3514087869774041</v>
      </c>
      <c r="BG64" s="548"/>
      <c r="BH64" s="547" t="s">
        <v>763</v>
      </c>
    </row>
    <row r="65" spans="23:60" ht="18" thickBot="1">
      <c r="W65" s="546" t="s">
        <v>762</v>
      </c>
      <c r="X65" s="365">
        <v>0.80354100879764889</v>
      </c>
      <c r="Y65" s="368" t="s">
        <v>364</v>
      </c>
      <c r="Z65" s="366">
        <v>233.16880573156175</v>
      </c>
      <c r="AA65" s="365"/>
      <c r="AB65" s="366">
        <v>314.24454607286202</v>
      </c>
      <c r="AC65" s="545">
        <v>218000</v>
      </c>
      <c r="AD65" s="366">
        <v>348624.13519895705</v>
      </c>
      <c r="AE65" s="366">
        <v>1439.692038809553</v>
      </c>
      <c r="AF65" s="366">
        <v>107.27932414116874</v>
      </c>
      <c r="AG65" s="366">
        <v>94.564633721661195</v>
      </c>
      <c r="AH65" s="367">
        <v>3.465143974140771</v>
      </c>
      <c r="AI65" s="367">
        <v>1.887308922348585</v>
      </c>
      <c r="AJ65" s="366">
        <v>25.759129622467718</v>
      </c>
      <c r="AK65" s="367">
        <v>6.5946588580426377</v>
      </c>
      <c r="AL65" s="366">
        <v>46.21278366863946</v>
      </c>
      <c r="AM65" s="366">
        <v>213.76441214704411</v>
      </c>
      <c r="AN65" s="366">
        <v>218.32639279158801</v>
      </c>
      <c r="AO65" s="365"/>
      <c r="AP65" s="367">
        <v>3.061763540718188</v>
      </c>
      <c r="AQ65" s="367">
        <v>9.1131953546209772</v>
      </c>
      <c r="AR65" s="366">
        <v>359.95197244596955</v>
      </c>
      <c r="AS65" s="367">
        <v>6.8117383704965899</v>
      </c>
      <c r="AT65" s="366">
        <v>191.35367789624661</v>
      </c>
      <c r="AU65" s="366">
        <v>159.99081944821535</v>
      </c>
      <c r="AV65" s="367">
        <v>3.3302898394046014</v>
      </c>
      <c r="AW65" s="365">
        <v>2.2789080858752309E-2</v>
      </c>
      <c r="AX65" s="365"/>
      <c r="AY65" s="365"/>
      <c r="AZ65" s="365">
        <v>0.11480144340417009</v>
      </c>
      <c r="BA65" s="366">
        <v>24.772088048170158</v>
      </c>
      <c r="BB65" s="366">
        <v>513.69556151129564</v>
      </c>
      <c r="BC65" s="366">
        <v>380.48283632540114</v>
      </c>
      <c r="BD65" s="307"/>
      <c r="BE65" s="308">
        <v>41.414001464843793</v>
      </c>
      <c r="BF65" s="364">
        <v>1.3623211146918857</v>
      </c>
      <c r="BG65" s="307"/>
      <c r="BH65" s="544" t="s">
        <v>761</v>
      </c>
    </row>
    <row r="66" spans="23:60" ht="18" thickBot="1">
      <c r="W66" s="543" t="s">
        <v>760</v>
      </c>
      <c r="X66" s="540">
        <v>0.24058348482303052</v>
      </c>
      <c r="Y66" s="539" t="s">
        <v>170</v>
      </c>
      <c r="Z66" s="537">
        <v>72.113446480209461</v>
      </c>
      <c r="AA66" s="540"/>
      <c r="AB66" s="537">
        <v>154.70839810914885</v>
      </c>
      <c r="AC66" s="366">
        <v>63350.55635064948</v>
      </c>
      <c r="AD66" s="542">
        <v>218000</v>
      </c>
      <c r="AE66" s="537">
        <v>893.09605046776073</v>
      </c>
      <c r="AF66" s="537">
        <v>40.608156405872194</v>
      </c>
      <c r="AG66" s="537">
        <v>36.817376887663542</v>
      </c>
      <c r="AH66" s="538">
        <v>1.6861627857744166</v>
      </c>
      <c r="AI66" s="539" t="s">
        <v>49</v>
      </c>
      <c r="AJ66" s="538">
        <v>8.8655284071234988</v>
      </c>
      <c r="AK66" s="539" t="s">
        <v>759</v>
      </c>
      <c r="AL66" s="537">
        <v>23.260114266247705</v>
      </c>
      <c r="AM66" s="537">
        <v>92.459811040738643</v>
      </c>
      <c r="AN66" s="537">
        <v>93.401794026880395</v>
      </c>
      <c r="AO66" s="540"/>
      <c r="AP66" s="540">
        <v>0.29953803310478055</v>
      </c>
      <c r="AQ66" s="538">
        <v>5.1704764236169023</v>
      </c>
      <c r="AR66" s="537">
        <v>271.48504818615106</v>
      </c>
      <c r="AS66" s="538">
        <v>3.9527382298557443</v>
      </c>
      <c r="AT66" s="537">
        <v>122.12904764945227</v>
      </c>
      <c r="AU66" s="537">
        <v>101.33476140386763</v>
      </c>
      <c r="AV66" s="540">
        <v>0.74690164903514689</v>
      </c>
      <c r="AW66" s="541">
        <v>4.5097933661974281E-3</v>
      </c>
      <c r="AX66" s="540"/>
      <c r="AY66" s="540"/>
      <c r="AZ66" s="539" t="s">
        <v>214</v>
      </c>
      <c r="BA66" s="538">
        <v>7.2546225705388778</v>
      </c>
      <c r="BB66" s="537">
        <v>449.45542962325504</v>
      </c>
      <c r="BC66" s="537">
        <v>328.12812987496744</v>
      </c>
      <c r="BD66" s="534"/>
      <c r="BE66" s="536">
        <v>44.809001922607393</v>
      </c>
      <c r="BF66" s="535">
        <v>2.6805997610616958</v>
      </c>
      <c r="BG66" s="534"/>
      <c r="BH66" s="533" t="s">
        <v>758</v>
      </c>
    </row>
    <row r="67" spans="23:60" ht="17">
      <c r="W67" s="396" t="s">
        <v>757</v>
      </c>
      <c r="X67" s="491" t="s">
        <v>141</v>
      </c>
      <c r="Y67" s="401">
        <v>44.922819906403184</v>
      </c>
      <c r="Z67" s="403" t="s">
        <v>186</v>
      </c>
      <c r="AA67" s="401"/>
      <c r="AB67" s="401">
        <v>4373.0908238472566</v>
      </c>
      <c r="AC67" s="408">
        <v>55500</v>
      </c>
      <c r="AD67" s="401"/>
      <c r="AE67" s="401">
        <v>161.49618191039562</v>
      </c>
      <c r="AF67" s="490" t="s">
        <v>756</v>
      </c>
      <c r="AG67" s="491" t="s">
        <v>755</v>
      </c>
      <c r="AH67" s="401">
        <v>60.132050076595405</v>
      </c>
      <c r="AI67" s="401">
        <v>67.035639240453378</v>
      </c>
      <c r="AJ67" s="401">
        <v>245.43152101075785</v>
      </c>
      <c r="AK67" s="401">
        <v>196.71064390031185</v>
      </c>
      <c r="AL67" s="402">
        <v>6.0202307889985818</v>
      </c>
      <c r="AM67" s="402">
        <v>6.2956876227299041</v>
      </c>
      <c r="AN67" s="402">
        <v>7.6879223184068062</v>
      </c>
      <c r="AO67" s="401"/>
      <c r="AP67" s="402">
        <v>2.710318390995389</v>
      </c>
      <c r="AQ67" s="400">
        <v>0.31934911604039429</v>
      </c>
      <c r="AR67" s="403" t="s">
        <v>632</v>
      </c>
      <c r="AS67" s="400">
        <v>0.36990935377095657</v>
      </c>
      <c r="AT67" s="403" t="s">
        <v>754</v>
      </c>
      <c r="AU67" s="403" t="s">
        <v>753</v>
      </c>
      <c r="AV67" s="402">
        <v>3.2946894749763054</v>
      </c>
      <c r="AW67" s="402">
        <v>1.0392337109901773</v>
      </c>
      <c r="AX67" s="400"/>
      <c r="AY67" s="400"/>
      <c r="AZ67" s="401">
        <v>29.081410002335421</v>
      </c>
      <c r="BA67" s="403" t="s">
        <v>161</v>
      </c>
      <c r="BB67" s="403" t="s">
        <v>66</v>
      </c>
      <c r="BC67" s="403" t="s">
        <v>179</v>
      </c>
      <c r="BD67" s="398"/>
      <c r="BE67" s="394">
        <v>44.130001068115298</v>
      </c>
      <c r="BF67" s="399">
        <v>0.37310298286001869</v>
      </c>
      <c r="BG67" s="398"/>
      <c r="BH67" s="398" t="s">
        <v>752</v>
      </c>
    </row>
    <row r="68" spans="23:60" ht="18" thickBot="1">
      <c r="W68" s="396" t="s">
        <v>751</v>
      </c>
      <c r="X68" s="491" t="s">
        <v>194</v>
      </c>
      <c r="Y68" s="401">
        <v>48.42916532531865</v>
      </c>
      <c r="Z68" s="403" t="s">
        <v>750</v>
      </c>
      <c r="AA68" s="401"/>
      <c r="AB68" s="401">
        <v>4444.1606157057913</v>
      </c>
      <c r="AC68" s="408">
        <v>55500</v>
      </c>
      <c r="AD68" s="401"/>
      <c r="AE68" s="401">
        <v>165.08618022436218</v>
      </c>
      <c r="AF68" s="490" t="s">
        <v>109</v>
      </c>
      <c r="AG68" s="491" t="s">
        <v>749</v>
      </c>
      <c r="AH68" s="401">
        <v>63.06742304097758</v>
      </c>
      <c r="AI68" s="401">
        <v>66.28660974071164</v>
      </c>
      <c r="AJ68" s="401">
        <v>249.99170646880862</v>
      </c>
      <c r="AK68" s="401">
        <v>206.86417026364293</v>
      </c>
      <c r="AL68" s="402">
        <v>5.4474251050298665</v>
      </c>
      <c r="AM68" s="402">
        <v>6.4151380734037575</v>
      </c>
      <c r="AN68" s="402">
        <v>9.0407577350812396</v>
      </c>
      <c r="AO68" s="401"/>
      <c r="AP68" s="402">
        <v>2.8000792160357451</v>
      </c>
      <c r="AQ68" s="400">
        <v>0.48877440830718188</v>
      </c>
      <c r="AR68" s="403" t="s">
        <v>118</v>
      </c>
      <c r="AS68" s="400">
        <v>0.23435376596845622</v>
      </c>
      <c r="AT68" s="403" t="s">
        <v>748</v>
      </c>
      <c r="AU68" s="403" t="s">
        <v>614</v>
      </c>
      <c r="AV68" s="402">
        <v>3.2085297424278028</v>
      </c>
      <c r="AW68" s="402">
        <v>1.061989831602161</v>
      </c>
      <c r="AX68" s="400"/>
      <c r="AY68" s="400"/>
      <c r="AZ68" s="401">
        <v>29.454777646753939</v>
      </c>
      <c r="BA68" s="403" t="s">
        <v>122</v>
      </c>
      <c r="BB68" s="400">
        <v>0.17887721364599887</v>
      </c>
      <c r="BC68" s="403" t="s">
        <v>326</v>
      </c>
      <c r="BD68" s="398"/>
      <c r="BE68" s="394">
        <v>44.809001922607393</v>
      </c>
      <c r="BF68" s="399">
        <v>0.37654366623507146</v>
      </c>
      <c r="BG68" s="398"/>
      <c r="BH68" s="398" t="s">
        <v>747</v>
      </c>
    </row>
    <row r="69" spans="23:60" ht="17">
      <c r="W69" s="432" t="s">
        <v>142</v>
      </c>
      <c r="X69" s="427">
        <v>460.69717808086892</v>
      </c>
      <c r="Y69" s="427">
        <v>407.56869653557271</v>
      </c>
      <c r="Z69" s="427">
        <v>443.01672384009731</v>
      </c>
      <c r="AA69" s="425"/>
      <c r="AB69" s="427">
        <v>413.38618822829613</v>
      </c>
      <c r="AC69" s="431">
        <v>459</v>
      </c>
      <c r="AD69" s="425"/>
      <c r="AE69" s="427">
        <v>448.01155112452102</v>
      </c>
      <c r="AF69" s="427">
        <v>470.76113478574933</v>
      </c>
      <c r="AG69" s="427">
        <v>471.5827199627991</v>
      </c>
      <c r="AH69" s="427">
        <v>441.13424843383632</v>
      </c>
      <c r="AI69" s="427">
        <v>436.84490864118698</v>
      </c>
      <c r="AJ69" s="427">
        <v>448.88170618365666</v>
      </c>
      <c r="AK69" s="427">
        <v>449.40232425887075</v>
      </c>
      <c r="AL69" s="427">
        <v>329.00517049911184</v>
      </c>
      <c r="AM69" s="427">
        <v>423.12904967769799</v>
      </c>
      <c r="AN69" s="427">
        <v>424.20399170679042</v>
      </c>
      <c r="AO69" s="425"/>
      <c r="AP69" s="428">
        <v>1.2747736492519208</v>
      </c>
      <c r="AQ69" s="428">
        <v>1.021741964579594</v>
      </c>
      <c r="AR69" s="427">
        <v>255.78445515162159</v>
      </c>
      <c r="AS69" s="425">
        <v>1.1053031862919724</v>
      </c>
      <c r="AT69" s="427">
        <v>425.81559396923592</v>
      </c>
      <c r="AU69" s="427">
        <v>394.50347581482333</v>
      </c>
      <c r="AV69" s="427">
        <v>448.75770950215821</v>
      </c>
      <c r="AW69" s="427">
        <v>49.926650869655255</v>
      </c>
      <c r="AX69" s="425"/>
      <c r="AY69" s="425"/>
      <c r="AZ69" s="428">
        <v>3.064441512980411</v>
      </c>
      <c r="BA69" s="427">
        <v>21.79938689423588</v>
      </c>
      <c r="BB69" s="427">
        <v>422.66020220047915</v>
      </c>
      <c r="BC69" s="427">
        <v>360.42906754930959</v>
      </c>
      <c r="BD69" s="422"/>
      <c r="BE69" s="424">
        <v>45.488002777099595</v>
      </c>
      <c r="BF69" s="423">
        <v>0.81495165494105215</v>
      </c>
      <c r="BG69" s="422"/>
      <c r="BH69" s="421" t="s">
        <v>746</v>
      </c>
    </row>
    <row r="70" spans="23:60" ht="18" thickBot="1">
      <c r="W70" s="420" t="s">
        <v>143</v>
      </c>
      <c r="X70" s="414">
        <v>439.89219226238748</v>
      </c>
      <c r="Y70" s="414">
        <v>408.96622058012252</v>
      </c>
      <c r="Z70" s="414">
        <v>445.56823181911398</v>
      </c>
      <c r="AA70" s="413"/>
      <c r="AB70" s="414">
        <v>407.15842422057386</v>
      </c>
      <c r="AC70" s="419">
        <v>459</v>
      </c>
      <c r="AD70" s="413"/>
      <c r="AE70" s="414">
        <v>434.58285198247466</v>
      </c>
      <c r="AF70" s="414">
        <v>449.9478964235783</v>
      </c>
      <c r="AG70" s="414">
        <v>449.12301724944115</v>
      </c>
      <c r="AH70" s="414">
        <v>425.44724426342322</v>
      </c>
      <c r="AI70" s="414">
        <v>429.72540395443514</v>
      </c>
      <c r="AJ70" s="414">
        <v>445.7078976591643</v>
      </c>
      <c r="AK70" s="414">
        <v>445.18765576615209</v>
      </c>
      <c r="AL70" s="414">
        <v>321.45500826066274</v>
      </c>
      <c r="AM70" s="414">
        <v>411.41646947050521</v>
      </c>
      <c r="AN70" s="414">
        <v>410.33333968254658</v>
      </c>
      <c r="AO70" s="413"/>
      <c r="AP70" s="415">
        <v>1.3069449261173043</v>
      </c>
      <c r="AQ70" s="415">
        <v>1.0813253466240722</v>
      </c>
      <c r="AR70" s="414">
        <v>246.54642970344506</v>
      </c>
      <c r="AS70" s="413">
        <v>0.9960109823886687</v>
      </c>
      <c r="AT70" s="414">
        <v>434.72629537190301</v>
      </c>
      <c r="AU70" s="414">
        <v>397.99560378751266</v>
      </c>
      <c r="AV70" s="414">
        <v>439.85444461704924</v>
      </c>
      <c r="AW70" s="414">
        <v>48.144116919658977</v>
      </c>
      <c r="AX70" s="413"/>
      <c r="AY70" s="413"/>
      <c r="AZ70" s="415">
        <v>3.239129848084787</v>
      </c>
      <c r="BA70" s="414">
        <v>22.42457925206531</v>
      </c>
      <c r="BB70" s="414">
        <v>429.86256310009105</v>
      </c>
      <c r="BC70" s="414">
        <v>355.46393468235539</v>
      </c>
      <c r="BD70" s="410"/>
      <c r="BE70" s="412">
        <v>45.488000869750998</v>
      </c>
      <c r="BF70" s="411">
        <v>0.84447412842537584</v>
      </c>
      <c r="BG70" s="410"/>
      <c r="BH70" s="409" t="s">
        <v>745</v>
      </c>
    </row>
    <row r="71" spans="23:60" ht="17">
      <c r="W71" s="309"/>
      <c r="X71" s="307"/>
      <c r="Y71" s="307"/>
      <c r="Z71" s="307"/>
      <c r="AA71" s="307"/>
      <c r="AB71" s="307"/>
      <c r="AC71" s="370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</row>
    <row r="72" spans="23:60" ht="18" thickBot="1">
      <c r="W72" s="309" t="s">
        <v>145</v>
      </c>
      <c r="X72" s="311">
        <v>10</v>
      </c>
      <c r="Y72" s="311">
        <v>23</v>
      </c>
      <c r="Z72" s="308">
        <v>10</v>
      </c>
      <c r="AA72" s="311">
        <v>937000</v>
      </c>
      <c r="AB72" s="311">
        <v>4600</v>
      </c>
      <c r="AC72" s="446">
        <v>55000</v>
      </c>
      <c r="AD72" s="311">
        <v>55000</v>
      </c>
      <c r="AE72" s="311">
        <v>145</v>
      </c>
      <c r="AF72" s="310">
        <v>0.34</v>
      </c>
      <c r="AG72" s="310">
        <v>0.34</v>
      </c>
      <c r="AH72" s="311">
        <v>58</v>
      </c>
      <c r="AI72" s="311">
        <v>58</v>
      </c>
      <c r="AJ72" s="311">
        <v>177</v>
      </c>
      <c r="AK72" s="311">
        <v>177</v>
      </c>
      <c r="AL72" s="308">
        <v>4.3</v>
      </c>
      <c r="AM72" s="308">
        <v>6.4</v>
      </c>
      <c r="AN72" s="308">
        <v>6.4</v>
      </c>
      <c r="AO72" s="308">
        <v>20</v>
      </c>
      <c r="AP72" s="308">
        <v>2.1</v>
      </c>
      <c r="AQ72" s="308">
        <v>1.43</v>
      </c>
      <c r="AR72" s="308">
        <v>1</v>
      </c>
      <c r="AS72" s="308" t="s">
        <v>94</v>
      </c>
      <c r="AT72" s="308" t="s">
        <v>94</v>
      </c>
      <c r="AU72" s="308" t="s">
        <v>94</v>
      </c>
      <c r="AV72" s="308">
        <v>2.85</v>
      </c>
      <c r="AW72" s="308">
        <v>1.1399999999999999</v>
      </c>
      <c r="AX72" s="308">
        <v>9.44</v>
      </c>
      <c r="AY72" s="308">
        <v>15.1</v>
      </c>
      <c r="AZ72" s="308">
        <v>30.1</v>
      </c>
      <c r="BA72" s="308">
        <v>0.66</v>
      </c>
      <c r="BB72" s="308" t="s">
        <v>94</v>
      </c>
      <c r="BC72" s="308" t="s">
        <v>94</v>
      </c>
      <c r="BD72" s="307"/>
      <c r="BE72" s="307"/>
      <c r="BF72" s="307"/>
      <c r="BG72" s="307"/>
      <c r="BH72" s="3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CH2-2</vt:lpstr>
      <vt:lpstr>CH3-2</vt:lpstr>
      <vt:lpstr>S36-2</vt:lpstr>
      <vt:lpstr>S32-2</vt:lpstr>
      <vt:lpstr>S32-4</vt:lpstr>
      <vt:lpstr>S32-5</vt:lpstr>
      <vt:lpstr>N8-4</vt:lpstr>
      <vt:lpstr>N8-3</vt:lpstr>
      <vt:lpstr>N12-1</vt:lpstr>
      <vt:lpstr>S32-1</vt:lpstr>
    </vt:vector>
  </TitlesOfParts>
  <Company>Johns Hopkins University - Applied Physics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Shread, Evangela E.</dc:creator>
  <cp:lastModifiedBy>Evangela Shread</cp:lastModifiedBy>
  <dcterms:created xsi:type="dcterms:W3CDTF">2023-06-06T14:15:07Z</dcterms:created>
  <dcterms:modified xsi:type="dcterms:W3CDTF">2023-08-07T19:51:50Z</dcterms:modified>
</cp:coreProperties>
</file>